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ustavo-pc\Desktop\"/>
    </mc:Choice>
  </mc:AlternateContent>
  <workbookProtection workbookAlgorithmName="SHA-512" workbookHashValue="LO4QJh3Jmp+ut+biZE6NwbxRMsNRthVnYyuwBq2ZBg4AIan6GedawebVegzaj66GE92i1TZ2sUfMZA3P0q1NZQ==" workbookSaltValue="EHEhoebYAozB4woJGHte2A==" workbookSpinCount="100000" lockStructure="1"/>
  <bookViews>
    <workbookView xWindow="0" yWindow="0" windowWidth="28800" windowHeight="13020"/>
  </bookViews>
  <sheets>
    <sheet name="FORMULARIO" sheetId="5" r:id="rId1"/>
    <sheet name="C.T.E." sheetId="19" r:id="rId2"/>
    <sheet name="FICHA TECNICA" sheetId="11" r:id="rId3"/>
    <sheet name="AHORRO" sheetId="16" state="hidden" r:id="rId4"/>
    <sheet name="TALLER" sheetId="13" state="hidden" r:id="rId5"/>
    <sheet name="VIDRIO2" sheetId="18" state="hidden" r:id="rId6"/>
    <sheet name="SERIES SIN" sheetId="6" state="hidden" r:id="rId7"/>
    <sheet name="TABLAS U" sheetId="7" state="hidden" r:id="rId8"/>
    <sheet name="FOTOS" sheetId="8" state="hidden" r:id="rId9"/>
    <sheet name="CLASIFICACIONES" sheetId="15" state="hidden" r:id="rId10"/>
    <sheet name="ACUSTICA" sheetId="14" state="hidden" r:id="rId11"/>
    <sheet name="GRADOS" sheetId="17" state="hidden" r:id="rId12"/>
  </sheets>
  <definedNames>
    <definedName name="_xlnm.Print_Area" localSheetId="3">AHORRO!$A$1:$O$63</definedName>
    <definedName name="_xlnm.Print_Area" localSheetId="1">C.T.E.!$A$1:$K$57</definedName>
    <definedName name="_xlnm.Print_Area" localSheetId="2">'FICHA TECNICA'!$A$1:$O$64</definedName>
    <definedName name="_xlnm.Print_Area" localSheetId="0">FORMULARIO!#REF!</definedName>
    <definedName name="CAJON">'SERIES SIN'!$A$49:$A$51</definedName>
    <definedName name="CAMARA">#REF!</definedName>
    <definedName name="COMPOSICION">#REF!</definedName>
    <definedName name="Hojas" localSheetId="2">'SERIES SIN'!$A$33:$A$36</definedName>
    <definedName name="Hojas" localSheetId="4">'SERIES SIN'!$A$33:$A$36</definedName>
    <definedName name="Hojas">'SERIES SIN'!$L$32:$L$36</definedName>
    <definedName name="Imagen" localSheetId="1">OFFSET(FOTOS!$B$2,MATCH(C.T.E.!$B$14,Lista,0)-1,0,1,1)</definedName>
    <definedName name="Imagen">OFFSET(FOTOS!$B$2,MATCH(FORMULARIO!#REF!,Lista,0)-1,0,1,1)</definedName>
    <definedName name="Imagen3" localSheetId="2">OFFSET(FOTOS!$C$2,MATCH(C.T.E.!$B$14,Lista,0)-1,0,1,1)</definedName>
    <definedName name="Imagen3">OFFSET(FOTOS!$C$2,MATCH(FORMULARIO!XER13,Lista,0)-1,0,1,1)</definedName>
    <definedName name="Imagen4" localSheetId="3">OFFSET(FOTOS!$C$2,MATCH(C.T.E.!$B$14,Lista,0)-1,0,1,1)</definedName>
    <definedName name="Lista">OFFSET(FOTOS!$A$2,0,0,COUNTA(FOTOS!$A:$A)-1,1)</definedName>
    <definedName name="Lista2" localSheetId="2">OFFSET(FOTOS!$A$2,0,0,COUNTA(FOTOS!$A:$A)-1,1)</definedName>
    <definedName name="Lista3">OFFSET(FOTOS!$A$2,0,0,COUNTA(FOTOS!$A:$A)-1,1)</definedName>
    <definedName name="MONOLITICO">#REF!</definedName>
    <definedName name="NOMBRE">FOTOS!$A$2:$A$6</definedName>
    <definedName name="NORMAL">#REF!</definedName>
    <definedName name="TERMICO">#REF!</definedName>
    <definedName name="TIPOVIDRIO">#REF!</definedName>
    <definedName name="VIDRIO_1">#REF!</definedName>
    <definedName name="VIDRIO_2">#REF!</definedName>
    <definedName name="Z_9633098C_10ED_422F_91DC_BBC3EF37A58B_.wvu.PrintArea" localSheetId="1" hidden="1">C.T.E.!$B$2:$J$56</definedName>
    <definedName name="Z_9633098C_10ED_422F_91DC_BBC3EF37A58B_.wvu.PrintArea" localSheetId="2" hidden="1">'FICHA TECNICA'!$B$4:$N$65</definedName>
    <definedName name="Z_9633098C_10ED_422F_91DC_BBC3EF37A58B_.wvu.PrintArea" localSheetId="0" hidden="1">FORMULARIO!#REF!</definedName>
    <definedName name="Z_9633098C_10ED_422F_91DC_BBC3EF37A58B_.wvu.PrintArea" localSheetId="4" hidden="1">TALLER!$B$1:$N$26</definedName>
  </definedNames>
  <calcPr calcId="152511" concurrentCalc="0"/>
  <customWorkbookViews>
    <customWorkbookView name="uxio" guid="{9633098C-10ED-422F-91DC-BBC3EF37A58B}" maximized="1" xWindow="1" yWindow="1" windowWidth="1920" windowHeight="915" activeSheetId="5" showFormulaBar="0"/>
  </customWorkbookViews>
</workbook>
</file>

<file path=xl/calcChain.xml><?xml version="1.0" encoding="utf-8"?>
<calcChain xmlns="http://schemas.openxmlformats.org/spreadsheetml/2006/main">
  <c r="F45" i="16" l="1"/>
  <c r="B45" i="16"/>
  <c r="L2" i="6"/>
  <c r="N2" i="6"/>
  <c r="K2" i="6"/>
  <c r="U20" i="5"/>
  <c r="D14" i="19"/>
  <c r="J20" i="19"/>
  <c r="J18" i="19"/>
  <c r="CE18" i="18"/>
  <c r="B52" i="16"/>
  <c r="J44" i="16"/>
  <c r="J46" i="16"/>
  <c r="J45" i="16"/>
  <c r="L21" i="16"/>
  <c r="B42" i="16"/>
  <c r="H21" i="16"/>
  <c r="F21" i="16"/>
  <c r="B21" i="16"/>
  <c r="J2" i="14"/>
  <c r="CG17" i="18"/>
  <c r="CE17" i="18"/>
  <c r="CC18" i="18"/>
  <c r="CC17" i="18"/>
  <c r="CA18" i="18"/>
  <c r="F2" i="14"/>
  <c r="F5" i="14"/>
  <c r="F6" i="14"/>
  <c r="E2" i="14"/>
  <c r="G2" i="14"/>
  <c r="B2" i="14"/>
  <c r="C2" i="14"/>
  <c r="N62" i="7"/>
  <c r="CK17" i="18"/>
  <c r="D33" i="19"/>
  <c r="Y36" i="5"/>
  <c r="Y34" i="5"/>
  <c r="W34" i="5"/>
  <c r="W32" i="5"/>
  <c r="Q3" i="6"/>
  <c r="W30" i="5"/>
  <c r="P3" i="6"/>
  <c r="M2" i="6"/>
  <c r="CA17" i="18"/>
  <c r="CM28" i="18"/>
  <c r="R6" i="6"/>
  <c r="D29" i="6"/>
  <c r="G29" i="6"/>
  <c r="E29" i="6"/>
  <c r="F29" i="6"/>
  <c r="H29" i="6"/>
  <c r="J50" i="16"/>
  <c r="J51" i="16"/>
  <c r="J52" i="16"/>
  <c r="F52" i="16"/>
  <c r="B50" i="16"/>
  <c r="B35" i="16"/>
  <c r="J53" i="16"/>
  <c r="B34" i="16"/>
  <c r="F53" i="16"/>
  <c r="B53" i="16"/>
  <c r="B51" i="16"/>
  <c r="CI19" i="18"/>
  <c r="G5" i="14"/>
  <c r="D22" i="19"/>
  <c r="H5" i="14"/>
  <c r="H6" i="14"/>
  <c r="A2" i="6"/>
  <c r="L30" i="6"/>
  <c r="J16" i="19"/>
  <c r="J14" i="19"/>
  <c r="B14" i="19"/>
  <c r="F10" i="19"/>
  <c r="D10" i="19"/>
  <c r="H8" i="19"/>
  <c r="D8" i="19"/>
  <c r="B10" i="19"/>
  <c r="B8" i="19"/>
  <c r="F6" i="19"/>
  <c r="B6" i="19"/>
  <c r="E2" i="7"/>
  <c r="D2" i="7"/>
  <c r="B2" i="7"/>
  <c r="A2" i="7"/>
  <c r="H11" i="5"/>
  <c r="F8" i="19"/>
  <c r="B38" i="19"/>
  <c r="CD17" i="18"/>
  <c r="CB17" i="18"/>
  <c r="L32" i="6"/>
  <c r="L33" i="6"/>
  <c r="L34" i="6"/>
  <c r="L35" i="6"/>
  <c r="L36" i="6"/>
  <c r="K2" i="14"/>
  <c r="G6" i="14"/>
  <c r="BZ28" i="18"/>
  <c r="CB29" i="18"/>
  <c r="BZ34" i="18"/>
  <c r="CB35" i="18"/>
  <c r="BZ37" i="18"/>
  <c r="CB38" i="18"/>
  <c r="BZ40" i="18"/>
  <c r="CB41" i="18"/>
  <c r="BZ43" i="18"/>
  <c r="CB48" i="18"/>
  <c r="BZ50" i="18"/>
  <c r="CB51" i="18"/>
  <c r="CA56" i="18"/>
  <c r="CA58" i="18"/>
  <c r="CC59" i="18"/>
  <c r="BZ57" i="18"/>
  <c r="CC67" i="18"/>
  <c r="CA66" i="18"/>
  <c r="CC64" i="18"/>
  <c r="CC27" i="18"/>
  <c r="CA29" i="18"/>
  <c r="BZ30" i="18"/>
  <c r="CA35" i="18"/>
  <c r="CC36" i="18"/>
  <c r="CA38" i="18"/>
  <c r="CC39" i="18"/>
  <c r="CA41" i="18"/>
  <c r="CC42" i="18"/>
  <c r="CA48" i="18"/>
  <c r="CC49" i="18"/>
  <c r="CA51" i="18"/>
  <c r="CC52" i="18"/>
  <c r="CC57" i="18"/>
  <c r="CB59" i="18"/>
  <c r="BZ56" i="18"/>
  <c r="BZ68" i="18"/>
  <c r="CB66" i="18"/>
  <c r="BZ65" i="18"/>
  <c r="CB27" i="18"/>
  <c r="BZ29" i="18"/>
  <c r="CC30" i="18"/>
  <c r="BZ35" i="18"/>
  <c r="CB36" i="18"/>
  <c r="BZ38" i="18"/>
  <c r="CB39" i="18"/>
  <c r="BZ41" i="18"/>
  <c r="CB42" i="18"/>
  <c r="BZ48" i="18"/>
  <c r="CB49" i="18"/>
  <c r="BZ51" i="18"/>
  <c r="CB52" i="18"/>
  <c r="CB57" i="18"/>
  <c r="CA59" i="18"/>
  <c r="CC60" i="18"/>
  <c r="CA68" i="18"/>
  <c r="CC66" i="18"/>
  <c r="CA65" i="18"/>
  <c r="CA27" i="18"/>
  <c r="CC28" i="18"/>
  <c r="CB30" i="18"/>
  <c r="CC34" i="18"/>
  <c r="CA36" i="18"/>
  <c r="CC37" i="18"/>
  <c r="CA39" i="18"/>
  <c r="CC40" i="18"/>
  <c r="CA42" i="18"/>
  <c r="CC43" i="18"/>
  <c r="CA49" i="18"/>
  <c r="CC50" i="18"/>
  <c r="CA52" i="18"/>
  <c r="CA57" i="18"/>
  <c r="BZ59" i="18"/>
  <c r="CB60" i="18"/>
  <c r="CB68" i="18"/>
  <c r="BZ67" i="18"/>
  <c r="CB65" i="18"/>
  <c r="BZ64" i="18"/>
  <c r="BZ27" i="18"/>
  <c r="CB28" i="18"/>
  <c r="CA30" i="18"/>
  <c r="CB34" i="18"/>
  <c r="BZ36" i="18"/>
  <c r="CB37" i="18"/>
  <c r="BZ39" i="18"/>
  <c r="CB40" i="18"/>
  <c r="BZ42" i="18"/>
  <c r="CB43" i="18"/>
  <c r="BZ49" i="18"/>
  <c r="CB50" i="18"/>
  <c r="BZ52" i="18"/>
  <c r="CC56" i="18"/>
  <c r="CC58" i="18"/>
  <c r="CA60" i="18"/>
  <c r="CC68" i="18"/>
  <c r="CA67" i="18"/>
  <c r="CC65" i="18"/>
  <c r="CA64" i="18"/>
  <c r="CA28" i="18"/>
  <c r="CC29" i="18"/>
  <c r="CA34" i="18"/>
  <c r="CC35" i="18"/>
  <c r="CA37" i="18"/>
  <c r="CC38" i="18"/>
  <c r="CA40" i="18"/>
  <c r="CC41" i="18"/>
  <c r="CA43" i="18"/>
  <c r="CC48" i="18"/>
  <c r="CA50" i="18"/>
  <c r="CC51" i="18"/>
  <c r="CB56" i="18"/>
  <c r="CB58" i="18"/>
  <c r="BZ60" i="18"/>
  <c r="BZ58" i="18"/>
  <c r="CB67" i="18"/>
  <c r="BZ66" i="18"/>
  <c r="CB64" i="18"/>
  <c r="CB22" i="18"/>
  <c r="CC23" i="18"/>
  <c r="CA25" i="18"/>
  <c r="CC26" i="18"/>
  <c r="CA22" i="18"/>
  <c r="CB23" i="18"/>
  <c r="BZ25" i="18"/>
  <c r="CB26" i="18"/>
  <c r="CC21" i="18"/>
  <c r="CA23" i="18"/>
  <c r="CC24" i="18"/>
  <c r="CA26" i="18"/>
  <c r="CB21" i="18"/>
  <c r="BZ23" i="18"/>
  <c r="CB24" i="18"/>
  <c r="BZ26" i="18"/>
  <c r="CA21" i="18"/>
  <c r="BZ22" i="18"/>
  <c r="CA24" i="18"/>
  <c r="CC25" i="18"/>
  <c r="BZ21" i="18"/>
  <c r="CC22" i="18"/>
  <c r="BZ24" i="18"/>
  <c r="CB25" i="18"/>
  <c r="S2" i="6"/>
  <c r="R2" i="6"/>
  <c r="Q2" i="6"/>
  <c r="P2" i="6"/>
  <c r="BZ17" i="18"/>
  <c r="BY17" i="18"/>
  <c r="BW17" i="18"/>
  <c r="F51" i="16"/>
  <c r="F50" i="16"/>
  <c r="R27" i="6"/>
  <c r="CM29" i="18"/>
  <c r="CM30" i="18"/>
  <c r="CA9" i="18"/>
  <c r="CA12" i="18"/>
  <c r="CA11" i="18"/>
  <c r="CA10" i="18"/>
  <c r="CA13" i="18"/>
  <c r="CB7" i="18"/>
  <c r="CB11" i="18"/>
  <c r="CB6" i="18"/>
  <c r="CB8" i="18"/>
  <c r="CB9" i="18"/>
  <c r="CB10" i="18"/>
  <c r="CB12" i="18"/>
  <c r="CL17" i="18"/>
  <c r="F33" i="19"/>
  <c r="CF3" i="18"/>
  <c r="CF4" i="18"/>
  <c r="CG47" i="18"/>
  <c r="CG48" i="18"/>
  <c r="CG46" i="18"/>
  <c r="CG19" i="18"/>
  <c r="CG20" i="18"/>
  <c r="CG21" i="18"/>
  <c r="CL32" i="18"/>
  <c r="B42" i="11"/>
  <c r="CI20" i="18"/>
  <c r="U50" i="5"/>
  <c r="CM17" i="18"/>
  <c r="CI21" i="18"/>
  <c r="J36" i="5"/>
  <c r="Q27" i="5"/>
  <c r="Y30" i="5"/>
  <c r="D20" i="19"/>
  <c r="Y32" i="5"/>
  <c r="D21" i="19"/>
  <c r="D29" i="19"/>
  <c r="CH17" i="18"/>
  <c r="D34" i="19"/>
  <c r="U51" i="5"/>
  <c r="P4" i="6"/>
  <c r="U44" i="5"/>
  <c r="CI17" i="18"/>
  <c r="J29" i="19"/>
  <c r="S4" i="6"/>
  <c r="R4" i="6"/>
  <c r="Q5" i="6"/>
  <c r="Q26" i="6"/>
  <c r="Q27" i="6"/>
  <c r="P5" i="6"/>
  <c r="S6" i="6"/>
  <c r="U3" i="6"/>
  <c r="U4" i="6"/>
  <c r="R3" i="6"/>
  <c r="R5" i="6"/>
  <c r="S3" i="6"/>
  <c r="S5" i="6"/>
  <c r="T5" i="6"/>
  <c r="B25" i="19"/>
  <c r="Q4" i="6"/>
  <c r="W36" i="5"/>
  <c r="D23" i="19"/>
  <c r="B6" i="11"/>
  <c r="L60" i="11"/>
  <c r="G6" i="6"/>
  <c r="A22" i="6"/>
  <c r="B22" i="6"/>
  <c r="A4" i="6"/>
  <c r="B5" i="6"/>
  <c r="F6" i="6"/>
  <c r="I5" i="6"/>
  <c r="H5" i="6"/>
  <c r="D5" i="6"/>
  <c r="E6" i="6"/>
  <c r="C5" i="6"/>
  <c r="G5" i="6"/>
  <c r="D6" i="6"/>
  <c r="J6" i="6"/>
  <c r="F5" i="6"/>
  <c r="C6" i="6"/>
  <c r="I6" i="6"/>
  <c r="E5" i="6"/>
  <c r="B6" i="6"/>
  <c r="H6" i="6"/>
  <c r="J5" i="6"/>
  <c r="B60" i="11"/>
  <c r="B61" i="11"/>
  <c r="L34" i="11"/>
  <c r="B6" i="16"/>
  <c r="D34" i="11"/>
  <c r="B29" i="11"/>
  <c r="H34" i="11"/>
  <c r="B26" i="6"/>
  <c r="AB52" i="7"/>
  <c r="AB49" i="7"/>
  <c r="AB43" i="7"/>
  <c r="AB50" i="7"/>
  <c r="AB44" i="7"/>
  <c r="AB48" i="7"/>
  <c r="AB42" i="7"/>
  <c r="AB51" i="7"/>
  <c r="AB45" i="7"/>
  <c r="AB46" i="7"/>
  <c r="AB53" i="7"/>
  <c r="AB47" i="7"/>
  <c r="F23" i="6"/>
  <c r="G23" i="6"/>
  <c r="D22" i="6"/>
  <c r="D26" i="6"/>
  <c r="E22" i="6"/>
  <c r="H23" i="6"/>
  <c r="B23" i="6"/>
  <c r="F22" i="6"/>
  <c r="I23" i="6"/>
  <c r="C23" i="6"/>
  <c r="G22" i="6"/>
  <c r="J23" i="6"/>
  <c r="D23" i="6"/>
  <c r="H22" i="6"/>
  <c r="Z27" i="6"/>
  <c r="E23" i="6"/>
  <c r="I22" i="6"/>
  <c r="J22" i="6"/>
  <c r="C22" i="6"/>
  <c r="R7" i="6"/>
  <c r="M52" i="7"/>
  <c r="M51" i="7"/>
  <c r="M50" i="7"/>
  <c r="M49" i="7"/>
  <c r="M45" i="7"/>
  <c r="M44" i="7"/>
  <c r="M42" i="7"/>
  <c r="C2" i="7"/>
  <c r="L11" i="5"/>
  <c r="M43" i="7"/>
  <c r="M48" i="7"/>
  <c r="M47" i="7"/>
  <c r="M53" i="7"/>
  <c r="M46" i="7"/>
  <c r="D21" i="16"/>
  <c r="H26" i="6"/>
  <c r="J21" i="16"/>
  <c r="F6" i="16"/>
  <c r="H10" i="19"/>
  <c r="R8" i="6"/>
  <c r="R9" i="6"/>
  <c r="H37" i="5"/>
  <c r="S7" i="6"/>
  <c r="S8" i="6"/>
  <c r="AD42" i="7"/>
  <c r="T42" i="7"/>
  <c r="O42" i="7"/>
  <c r="P11" i="5"/>
  <c r="J8" i="19"/>
  <c r="AG27" i="6"/>
  <c r="AI42" i="7"/>
  <c r="M26" i="6"/>
  <c r="M27" i="6"/>
  <c r="K26" i="6"/>
  <c r="K27" i="6"/>
  <c r="L26" i="6"/>
  <c r="L27" i="6"/>
  <c r="J26" i="6"/>
  <c r="J27" i="6"/>
  <c r="I26" i="6"/>
  <c r="N26" i="6"/>
  <c r="N27" i="6"/>
  <c r="AA27" i="6"/>
  <c r="AB27" i="6"/>
  <c r="AD30" i="6"/>
  <c r="AC30" i="6"/>
  <c r="AD27" i="6"/>
  <c r="AC27" i="6"/>
  <c r="O26" i="6"/>
  <c r="O27" i="6"/>
  <c r="AB30" i="6"/>
  <c r="P26" i="6"/>
  <c r="P27" i="6"/>
  <c r="D50" i="19"/>
  <c r="S9" i="6"/>
  <c r="S22" i="5"/>
  <c r="G26" i="6"/>
  <c r="G27" i="6"/>
  <c r="E26" i="6"/>
  <c r="E27" i="6"/>
  <c r="F26" i="6"/>
  <c r="F27" i="6"/>
  <c r="Z30" i="6"/>
  <c r="AE27" i="6"/>
  <c r="H27" i="6"/>
  <c r="B27" i="6"/>
  <c r="D27" i="6"/>
  <c r="I27" i="6"/>
  <c r="AA30" i="6"/>
  <c r="AE30" i="6"/>
  <c r="AG30" i="6"/>
  <c r="H33" i="19"/>
  <c r="C26" i="6"/>
  <c r="J33" i="19"/>
  <c r="H44" i="19"/>
  <c r="S26" i="6"/>
  <c r="C27" i="6"/>
  <c r="S27" i="6"/>
  <c r="J25" i="19"/>
  <c r="AG26" i="6"/>
  <c r="F31" i="19"/>
  <c r="F25" i="19"/>
  <c r="D44" i="19"/>
  <c r="F47" i="19"/>
  <c r="S28" i="6"/>
  <c r="A2" i="14"/>
  <c r="F15" i="16"/>
  <c r="H25" i="19"/>
  <c r="J31" i="19"/>
  <c r="D48" i="16"/>
  <c r="D49" i="16"/>
  <c r="D51" i="16"/>
  <c r="D52" i="16"/>
  <c r="C6" i="14"/>
  <c r="C7" i="14"/>
  <c r="C8" i="14"/>
  <c r="C5" i="14"/>
  <c r="F44" i="19"/>
  <c r="J44" i="19"/>
  <c r="H48" i="16"/>
  <c r="H49" i="16"/>
  <c r="H51" i="16"/>
  <c r="D2" i="14"/>
  <c r="B51" i="11"/>
  <c r="B52" i="19"/>
  <c r="L42" i="11"/>
  <c r="F9" i="16"/>
  <c r="D26" i="16"/>
  <c r="D52" i="19"/>
  <c r="F52" i="19"/>
  <c r="F50" i="19"/>
  <c r="G50" i="19"/>
  <c r="B50" i="19"/>
  <c r="H50" i="16"/>
  <c r="H54" i="16"/>
  <c r="D56" i="16"/>
  <c r="D50" i="16"/>
  <c r="D54" i="16"/>
  <c r="G9" i="14"/>
  <c r="G8" i="14"/>
  <c r="L2" i="14"/>
  <c r="L51" i="11"/>
  <c r="F8" i="14"/>
  <c r="F9" i="14"/>
  <c r="L47" i="16"/>
  <c r="L48" i="16"/>
  <c r="L49" i="16"/>
  <c r="D28" i="16"/>
  <c r="G52" i="19"/>
  <c r="H52" i="16"/>
  <c r="H56" i="16"/>
  <c r="L50" i="16"/>
  <c r="L54" i="16"/>
  <c r="D60" i="16"/>
  <c r="L51" i="16"/>
  <c r="L52" i="16"/>
  <c r="F38" i="16"/>
  <c r="B38" i="16"/>
  <c r="J26" i="16"/>
  <c r="J28" i="16"/>
  <c r="D30" i="16"/>
  <c r="F12" i="16"/>
  <c r="L56" i="16"/>
  <c r="B40" i="16"/>
  <c r="F40" i="16"/>
  <c r="J62" i="16"/>
  <c r="D62" i="16"/>
  <c r="F60" i="16"/>
  <c r="L60" i="16"/>
  <c r="J60" i="16"/>
  <c r="D32" i="16"/>
  <c r="F61" i="16"/>
  <c r="L61" i="16"/>
  <c r="D61" i="16"/>
  <c r="J61" i="16"/>
</calcChain>
</file>

<file path=xl/sharedStrings.xml><?xml version="1.0" encoding="utf-8"?>
<sst xmlns="http://schemas.openxmlformats.org/spreadsheetml/2006/main" count="2325" uniqueCount="608">
  <si>
    <t>U</t>
  </si>
  <si>
    <t>MONOLITICO</t>
  </si>
  <si>
    <t>SI</t>
  </si>
  <si>
    <t>V1</t>
  </si>
  <si>
    <t>V2</t>
  </si>
  <si>
    <t>EXTERIOR</t>
  </si>
  <si>
    <t>INTERIOR</t>
  </si>
  <si>
    <t>Uv</t>
  </si>
  <si>
    <t>V-8000-50</t>
  </si>
  <si>
    <t>LI</t>
  </si>
  <si>
    <t>IE</t>
  </si>
  <si>
    <t>II</t>
  </si>
  <si>
    <t>SE</t>
  </si>
  <si>
    <t>CEN</t>
  </si>
  <si>
    <t>V-8000-58</t>
  </si>
  <si>
    <t>V-8000-43</t>
  </si>
  <si>
    <t>XC-70</t>
  </si>
  <si>
    <t>GLASS P-24</t>
  </si>
  <si>
    <t>HOJAS</t>
  </si>
  <si>
    <t>FL</t>
  </si>
  <si>
    <t>FC</t>
  </si>
  <si>
    <t>Extrugasa</t>
  </si>
  <si>
    <t>Datos del Proyecto</t>
  </si>
  <si>
    <t>Capital</t>
  </si>
  <si>
    <t>Fecha:</t>
  </si>
  <si>
    <t>Calculado por:</t>
  </si>
  <si>
    <t>Zona Climática:</t>
  </si>
  <si>
    <t>Altura respecto a la Capital:</t>
  </si>
  <si>
    <t>Capital de Provincia:</t>
  </si>
  <si>
    <t>Identificador del Proyecto:</t>
  </si>
  <si>
    <t>Altura de la Capital:</t>
  </si>
  <si>
    <t>% de Huecos en Fachada</t>
  </si>
  <si>
    <t>Orientación:</t>
  </si>
  <si>
    <t>Albacete</t>
  </si>
  <si>
    <t>D3</t>
  </si>
  <si>
    <t>D2</t>
  </si>
  <si>
    <t>E1</t>
  </si>
  <si>
    <t>Alicante</t>
  </si>
  <si>
    <t>B4</t>
  </si>
  <si>
    <t>C3</t>
  </si>
  <si>
    <t>C1</t>
  </si>
  <si>
    <t>D1</t>
  </si>
  <si>
    <t>Almería</t>
  </si>
  <si>
    <t>A4</t>
  </si>
  <si>
    <t>B3</t>
  </si>
  <si>
    <t>Ávila</t>
  </si>
  <si>
    <t>Badajoz</t>
  </si>
  <si>
    <t>C4</t>
  </si>
  <si>
    <t>Barcelona</t>
  </si>
  <si>
    <t>C2</t>
  </si>
  <si>
    <t>Bilbao</t>
  </si>
  <si>
    <t>Burgos</t>
  </si>
  <si>
    <t>Cáceres</t>
  </si>
  <si>
    <t>Cádiz</t>
  </si>
  <si>
    <t>A3</t>
  </si>
  <si>
    <t>Ceuta</t>
  </si>
  <si>
    <t>Ciudad Real</t>
  </si>
  <si>
    <t>Córdoba</t>
  </si>
  <si>
    <t>Coruña (a)</t>
  </si>
  <si>
    <t>Cuenca</t>
  </si>
  <si>
    <t>Girona</t>
  </si>
  <si>
    <t>Granada</t>
  </si>
  <si>
    <t>Guadalajara</t>
  </si>
  <si>
    <t>Huelva</t>
  </si>
  <si>
    <t>Huesca</t>
  </si>
  <si>
    <t>Jaén</t>
  </si>
  <si>
    <t>León</t>
  </si>
  <si>
    <t>Lleida</t>
  </si>
  <si>
    <t>Logroño</t>
  </si>
  <si>
    <t>Lugo</t>
  </si>
  <si>
    <t>Madrid</t>
  </si>
  <si>
    <t>Málaga</t>
  </si>
  <si>
    <t>Melilla</t>
  </si>
  <si>
    <t>Murcia</t>
  </si>
  <si>
    <t>Ourense</t>
  </si>
  <si>
    <t>Oviedo</t>
  </si>
  <si>
    <t>Palencia</t>
  </si>
  <si>
    <t>Palma de Mallorca</t>
  </si>
  <si>
    <t>Pamplona</t>
  </si>
  <si>
    <t>Pontevedra</t>
  </si>
  <si>
    <t>Salamanca</t>
  </si>
  <si>
    <t>Santa Cruz de Tenerife</t>
  </si>
  <si>
    <t>Santander</t>
  </si>
  <si>
    <t>Segovia</t>
  </si>
  <si>
    <t>Sevilla</t>
  </si>
  <si>
    <t>Soria</t>
  </si>
  <si>
    <t>Tarragona</t>
  </si>
  <si>
    <t>Teruel</t>
  </si>
  <si>
    <t>Toledo</t>
  </si>
  <si>
    <t>Valencia</t>
  </si>
  <si>
    <t>Valladolid</t>
  </si>
  <si>
    <t>Vitoria-Gasteiz</t>
  </si>
  <si>
    <t>Zamora</t>
  </si>
  <si>
    <t>Zaragoza</t>
  </si>
  <si>
    <t>Referencia</t>
  </si>
  <si>
    <r>
      <rPr>
        <u/>
        <sz val="9"/>
        <color theme="1"/>
        <rFont val="Calibri"/>
        <family val="2"/>
        <scheme val="minor"/>
      </rPr>
      <t>&gt;</t>
    </r>
    <r>
      <rPr>
        <sz val="9"/>
        <color theme="1"/>
        <rFont val="Calibri"/>
        <family val="2"/>
        <scheme val="minor"/>
      </rPr>
      <t>400&lt;600</t>
    </r>
  </si>
  <si>
    <r>
      <rPr>
        <u/>
        <sz val="9"/>
        <color theme="1"/>
        <rFont val="Calibri"/>
        <family val="2"/>
        <scheme val="minor"/>
      </rPr>
      <t>&gt;</t>
    </r>
    <r>
      <rPr>
        <sz val="9"/>
        <color theme="1"/>
        <rFont val="Calibri"/>
        <family val="2"/>
        <scheme val="minor"/>
      </rPr>
      <t>200&lt;400</t>
    </r>
  </si>
  <si>
    <r>
      <rPr>
        <u/>
        <sz val="9"/>
        <color theme="1"/>
        <rFont val="Calibri"/>
        <family val="2"/>
        <scheme val="minor"/>
      </rPr>
      <t>&gt;</t>
    </r>
    <r>
      <rPr>
        <sz val="9"/>
        <color theme="1"/>
        <rFont val="Calibri"/>
        <family val="2"/>
        <scheme val="minor"/>
      </rPr>
      <t>600&lt;800</t>
    </r>
  </si>
  <si>
    <r>
      <rPr>
        <u/>
        <sz val="9"/>
        <color theme="1"/>
        <rFont val="Calibri"/>
        <family val="2"/>
        <scheme val="minor"/>
      </rPr>
      <t>&gt;</t>
    </r>
    <r>
      <rPr>
        <sz val="9"/>
        <color theme="1"/>
        <rFont val="Calibri"/>
        <family val="2"/>
        <scheme val="minor"/>
      </rPr>
      <t>800&lt;1000</t>
    </r>
  </si>
  <si>
    <r>
      <rPr>
        <u/>
        <sz val="9"/>
        <color theme="1"/>
        <rFont val="Calibri"/>
        <family val="2"/>
        <scheme val="minor"/>
      </rPr>
      <t>&gt;</t>
    </r>
    <r>
      <rPr>
        <sz val="9"/>
        <color theme="1"/>
        <rFont val="Calibri"/>
        <family val="2"/>
        <scheme val="minor"/>
      </rPr>
      <t>1000</t>
    </r>
  </si>
  <si>
    <t>Desnivel entre la Localidad y la Capital de Provincia (m)</t>
  </si>
  <si>
    <t>Donostia-San Sebastián</t>
  </si>
  <si>
    <t>Castellón de la Plana</t>
  </si>
  <si>
    <t>Palmas de Gran Canaria</t>
  </si>
  <si>
    <t>CAPITAL</t>
  </si>
  <si>
    <t>DESNIVEL</t>
  </si>
  <si>
    <t>ZONA:</t>
  </si>
  <si>
    <t>PORCENTAJE DE HUECOS</t>
  </si>
  <si>
    <t>DESNIVELES</t>
  </si>
  <si>
    <t>0 a 10</t>
  </si>
  <si>
    <t>11 a 20</t>
  </si>
  <si>
    <t>21 a 30</t>
  </si>
  <si>
    <t>31 a 40</t>
  </si>
  <si>
    <t>41 a 50</t>
  </si>
  <si>
    <t>51 a 60</t>
  </si>
  <si>
    <t>ORIENTACION</t>
  </si>
  <si>
    <t>Norte</t>
  </si>
  <si>
    <t>Este/Oeste</t>
  </si>
  <si>
    <t>Sur/Sureste/Suroeste</t>
  </si>
  <si>
    <t>HUECOS:</t>
  </si>
  <si>
    <t>ORIENTACION:</t>
  </si>
  <si>
    <t>COEFICIENTE</t>
  </si>
  <si>
    <t>LIMITE POR ZONA</t>
  </si>
  <si>
    <t>TRANSMITANCIA LIMITE DE LOS HUECOS</t>
  </si>
  <si>
    <t>(W/m2K)</t>
  </si>
  <si>
    <t>Datos de la Perfilería</t>
  </si>
  <si>
    <t>Serie de Carpintería:</t>
  </si>
  <si>
    <t>SERIES</t>
  </si>
  <si>
    <t>L-86</t>
  </si>
  <si>
    <t>GOS-S</t>
  </si>
  <si>
    <t>ELEVABLE</t>
  </si>
  <si>
    <t>SERIE ESCOGIDA</t>
  </si>
  <si>
    <t>Lateral Exterior</t>
  </si>
  <si>
    <t>Lateral Interior</t>
  </si>
  <si>
    <t>Inferior Exterior</t>
  </si>
  <si>
    <t>Inferior Interior</t>
  </si>
  <si>
    <t>Superior Exterior</t>
  </si>
  <si>
    <t>Superior Interior</t>
  </si>
  <si>
    <t>Central</t>
  </si>
  <si>
    <t>Fijo Lateral</t>
  </si>
  <si>
    <t>Ancho del nudo (m)</t>
  </si>
  <si>
    <t>NUMERO HOJAS</t>
  </si>
  <si>
    <t>Numero de Hojas:</t>
  </si>
  <si>
    <t>Identificador del Modelo:</t>
  </si>
  <si>
    <t>VENTANA</t>
  </si>
  <si>
    <t>FIJO 4</t>
  </si>
  <si>
    <t>FIJO 1</t>
  </si>
  <si>
    <t>FIJO 2</t>
  </si>
  <si>
    <t>FIJO 3</t>
  </si>
  <si>
    <t>Ancho del Modelo (m):</t>
  </si>
  <si>
    <t>Alto del Modelo (m):</t>
  </si>
  <si>
    <t>Travesaño</t>
  </si>
  <si>
    <t>ANCHO</t>
  </si>
  <si>
    <t>ALTO</t>
  </si>
  <si>
    <t>TRAV</t>
  </si>
  <si>
    <t>LE</t>
  </si>
  <si>
    <t>PARTES</t>
  </si>
  <si>
    <t>FL1</t>
  </si>
  <si>
    <t>TR1</t>
  </si>
  <si>
    <t>FL2</t>
  </si>
  <si>
    <t>TR2</t>
  </si>
  <si>
    <t>FL3</t>
  </si>
  <si>
    <t>TR3</t>
  </si>
  <si>
    <t>FL4</t>
  </si>
  <si>
    <t>TR4</t>
  </si>
  <si>
    <t>AREA DE PERFIL</t>
  </si>
  <si>
    <t>Datos del Vidrio</t>
  </si>
  <si>
    <t>Tipo de Vidrio:</t>
  </si>
  <si>
    <t>AREA DEL VIDRIO</t>
  </si>
  <si>
    <t>Uf</t>
  </si>
  <si>
    <t>Modelo de Vidrio:</t>
  </si>
  <si>
    <t>TIPO</t>
  </si>
  <si>
    <t>TIPOS</t>
  </si>
  <si>
    <t>Monolitico</t>
  </si>
  <si>
    <t>Doble Vidrio</t>
  </si>
  <si>
    <t>DESCRIPCION</t>
  </si>
  <si>
    <t>Serie de R.P.T. de 43 mm con canal Europeo</t>
  </si>
  <si>
    <t>Serie abatible de R.P.T. de 50 mm con canal Europeo</t>
  </si>
  <si>
    <t>Serie abatible de R.P.T. de 58 mm con canal Europeo</t>
  </si>
  <si>
    <t>Serie de Hoja Oculta abatible con R.P.T. de 58 mm con canal Europeo</t>
  </si>
  <si>
    <t>Serie abatible de R.P.T. de 70 mm con canal Europeo</t>
  </si>
  <si>
    <t>Serie Elevable perimetral con R.P.T. de 135 mm</t>
  </si>
  <si>
    <t>Serie Corredera/Elevable perimetral con R.P.T. de 107 mm</t>
  </si>
  <si>
    <t>Serie Corredera perimetral con R.P.T. de 70 mm</t>
  </si>
  <si>
    <t>INTERCALARIO</t>
  </si>
  <si>
    <t>Para perfil sin R.P.T. Acristalamiento doble o triple, cristal no revestido, cámara de aire o gas.</t>
  </si>
  <si>
    <t>Para perfil sin R.P.T. Acristalamiento doble con baja emisividad, triple con dos capas de baja emisividad, cámara de aire o gas.</t>
  </si>
  <si>
    <t>Para perfil con R.P.T. Acristalamiento doble o triple, cristal no revestido, cámara de aire o gas.</t>
  </si>
  <si>
    <t>Para perfil con R.P.T. Acristalamiento doble con baja emisividad, triple con dos capas de baja emisividad, cámara de aire o gas.</t>
  </si>
  <si>
    <t>Transmitancia Térmica del Modelo de Ventana</t>
  </si>
  <si>
    <r>
      <t>U</t>
    </r>
    <r>
      <rPr>
        <sz val="6"/>
        <color theme="4" tint="-0.499984740745262"/>
        <rFont val="Swis721 LtCn BT"/>
        <family val="2"/>
      </rPr>
      <t>Hm</t>
    </r>
    <r>
      <rPr>
        <sz val="8"/>
        <color theme="4" tint="-0.499984740745262"/>
        <rFont val="Swis721 LtCn BT"/>
        <family val="2"/>
      </rPr>
      <t xml:space="preserve"> del nudo</t>
    </r>
  </si>
  <si>
    <t>Intercalario</t>
  </si>
  <si>
    <t>LONGITUD DEL INTERCALARIO</t>
  </si>
  <si>
    <t>ANCHOS</t>
  </si>
  <si>
    <t>VENT</t>
  </si>
  <si>
    <t>ALTOS</t>
  </si>
  <si>
    <t>TOTAL INTERCALARIO</t>
  </si>
  <si>
    <t>(L) Longitud Intercalario (m):</t>
  </si>
  <si>
    <t>Sumatorio del Perfil:</t>
  </si>
  <si>
    <t>Sumatorio del Vidrio:</t>
  </si>
  <si>
    <t>Sumatorio del Intercalario:</t>
  </si>
  <si>
    <t>&gt;</t>
  </si>
  <si>
    <r>
      <t>U</t>
    </r>
    <r>
      <rPr>
        <b/>
        <sz val="8"/>
        <color theme="1"/>
        <rFont val="Swis721 LtCn BT"/>
        <family val="2"/>
      </rPr>
      <t>Hlim</t>
    </r>
  </si>
  <si>
    <t>Datos aplicados según la Tabla 2.2 del CTE HE</t>
  </si>
  <si>
    <t>Descripción de la Serie:</t>
  </si>
  <si>
    <t>metros</t>
  </si>
  <si>
    <t>FIJO</t>
  </si>
  <si>
    <t>1 HOJA</t>
  </si>
  <si>
    <t>2 HOJAS</t>
  </si>
  <si>
    <t>3 HOJAS</t>
  </si>
  <si>
    <t>4 HOJAS</t>
  </si>
  <si>
    <t>Ancho Vent</t>
  </si>
  <si>
    <t>Alto Vent</t>
  </si>
  <si>
    <t>(Ψ) Coeficiente Lineal:</t>
  </si>
  <si>
    <t>UMm=</t>
  </si>
  <si>
    <t>UMm</t>
  </si>
  <si>
    <t>COEFICIENTE de MUROS</t>
  </si>
  <si>
    <t>COEFICIENTE DE MUROS</t>
  </si>
  <si>
    <t>UMlim=</t>
  </si>
  <si>
    <t>UMlim</t>
  </si>
  <si>
    <t>con la C.T.E. en su Documento Básico HE: "Ahorro de Energía" en su capitulo HE1,  y en el Apendice E, apartado E.1.4.1</t>
  </si>
  <si>
    <t>Ventana</t>
  </si>
  <si>
    <t>∑ (Am x UHm)=</t>
  </si>
  <si>
    <t>∑ (Av x UHv)=</t>
  </si>
  <si>
    <t>FOTOS</t>
  </si>
  <si>
    <t>Datos del taller</t>
  </si>
  <si>
    <t>Logo:</t>
  </si>
  <si>
    <t>Nombre del Taller:</t>
  </si>
  <si>
    <t>Teléfono:</t>
  </si>
  <si>
    <t>Insertar Logo</t>
  </si>
  <si>
    <t>Carpintería de Aluminio, S.L.</t>
  </si>
  <si>
    <t>999 555 999</t>
  </si>
  <si>
    <t>C.P. y Localidad:</t>
  </si>
  <si>
    <t>Código Postal:</t>
  </si>
  <si>
    <t>Fax:</t>
  </si>
  <si>
    <t>Firmante:</t>
  </si>
  <si>
    <t>55555 San Sebastian de los Reyes</t>
  </si>
  <si>
    <t>555 999 555</t>
  </si>
  <si>
    <t>Marcos Couto Garaicoetchea</t>
  </si>
  <si>
    <t>Dirección del Taller:</t>
  </si>
  <si>
    <t>Cargo en la empresa:</t>
  </si>
  <si>
    <t>Polígono Industrial de Montalvo, C/ Luís Jiménez, Nave AAA</t>
  </si>
  <si>
    <t>Administrador</t>
  </si>
  <si>
    <t>Datos del Modelo de Carpintería</t>
  </si>
  <si>
    <t>Atenuación Acústica</t>
  </si>
  <si>
    <t>CAJON</t>
  </si>
  <si>
    <t>SERIES SIN</t>
  </si>
  <si>
    <t>MEDIDAS</t>
  </si>
  <si>
    <t>COEFICIENTES</t>
  </si>
  <si>
    <t>Datos del Taller para el marcado CE</t>
  </si>
  <si>
    <t>G-90</t>
  </si>
  <si>
    <t>PERIMETRAL</t>
  </si>
  <si>
    <t>V-8000-45</t>
  </si>
  <si>
    <t>V-8000-40</t>
  </si>
  <si>
    <t>SERIE</t>
  </si>
  <si>
    <t>COEF. LINEAL</t>
  </si>
  <si>
    <t>(Según Norma UNE EN 10077-2: 2008)</t>
  </si>
  <si>
    <t>Nº FIJOS</t>
  </si>
  <si>
    <t>SECCIONES</t>
  </si>
  <si>
    <t>Descripción del Modelo:</t>
  </si>
  <si>
    <t>AIRE</t>
  </si>
  <si>
    <t>AGUA</t>
  </si>
  <si>
    <t>VIENTO</t>
  </si>
  <si>
    <t>E900</t>
  </si>
  <si>
    <t>C5</t>
  </si>
  <si>
    <t>Ensayos de comportamiento a factores externos del Modelo</t>
  </si>
  <si>
    <t>Ventana de 2 hojas oscilo-batiente con vidrio 6/12/6 de 1,2 x 1,2 mts.</t>
  </si>
  <si>
    <t>Base de Ensayo:</t>
  </si>
  <si>
    <t>Permeabilidad al Aire:</t>
  </si>
  <si>
    <t>Estanqueidad al Agua:</t>
  </si>
  <si>
    <t>Resistencia al Viento:</t>
  </si>
  <si>
    <t>Ventana de 2 hojas oscilo-batiente con vidrio 6/12/6 de 1,4 x 1,7 mts.</t>
  </si>
  <si>
    <t>E750</t>
  </si>
  <si>
    <t>E1200</t>
  </si>
  <si>
    <t>Ventana de 2 hojas oscilo-batiente con vidrio 6/14/6 de 1,4 x 1,7 mts.</t>
  </si>
  <si>
    <t>Ventana de 2 hojas correderas con vidrio 4/12/5 de 1,7 x 1,4 mts.</t>
  </si>
  <si>
    <t>7A</t>
  </si>
  <si>
    <t>Ventana de 2 hojas correderas con vidrio 6/16/6 de 2,0 x 2,0 mts.</t>
  </si>
  <si>
    <t>B5</t>
  </si>
  <si>
    <t>Puerta de 2 hojas elevables con vidrio 6/12/6 de 2,1 x 2,2 mts.</t>
  </si>
  <si>
    <t>5A</t>
  </si>
  <si>
    <t>AREA</t>
  </si>
  <si>
    <t>Rw (C; Ctr)</t>
  </si>
  <si>
    <t>A&lt;=2,7</t>
  </si>
  <si>
    <t>2,7&lt;=A&lt;=3,6</t>
  </si>
  <si>
    <t>3,6&lt;=A&lt;=4,6</t>
  </si>
  <si>
    <t>A&gt;=4,6</t>
  </si>
  <si>
    <t>32 (-2; -5)</t>
  </si>
  <si>
    <t>33 (-1; -4)</t>
  </si>
  <si>
    <t>36 (-2; -5)</t>
  </si>
  <si>
    <t>38 (-2; -7)</t>
  </si>
  <si>
    <t>34 (-1; -5)</t>
  </si>
  <si>
    <t>32 (-1; -5)</t>
  </si>
  <si>
    <t>31 (-1; -5)</t>
  </si>
  <si>
    <t>30 (-1; -5)</t>
  </si>
  <si>
    <t>29 (-1; -5)</t>
  </si>
  <si>
    <t>34 (-1; -4)</t>
  </si>
  <si>
    <t>35 (-1; -4)</t>
  </si>
  <si>
    <t>36 (-1; -4)</t>
  </si>
  <si>
    <t>37 (-1; -4)</t>
  </si>
  <si>
    <t>32 (-1; -4)</t>
  </si>
  <si>
    <t>31 (-1; -4)</t>
  </si>
  <si>
    <t>30 (-1; -4)</t>
  </si>
  <si>
    <t>33 (-1; -5)</t>
  </si>
  <si>
    <t>35 (-1; -3)</t>
  </si>
  <si>
    <t>32 (-1; -3)</t>
  </si>
  <si>
    <t>33 (-1; -3)</t>
  </si>
  <si>
    <t>34 (-1; -3)</t>
  </si>
  <si>
    <t>40 (-1; -5)</t>
  </si>
  <si>
    <t>(Fm) Fracción de Marco (%):</t>
  </si>
  <si>
    <t>Los cálculos se han realizado según la metodología recogida en la norma UNE EN 10077-1: 2010     Comportamiento térmico de ventanas, puertas y persianas. Calculo de la transmitancia térmica.           Parte 2: Método numérico para los marcos.</t>
  </si>
  <si>
    <t>(Am + Av)</t>
  </si>
  <si>
    <t>29 (-2; -3)</t>
  </si>
  <si>
    <t>31 (-2; -3)</t>
  </si>
  <si>
    <t>35 (0; -2)</t>
  </si>
  <si>
    <t>38 (-1; -3)</t>
  </si>
  <si>
    <t>43 (-2; -6)</t>
  </si>
  <si>
    <t>CRISTALGLASS</t>
  </si>
  <si>
    <t>29 (-1; -4)</t>
  </si>
  <si>
    <t>33 (-1; -6)</t>
  </si>
  <si>
    <t>32 (-1; -6)</t>
  </si>
  <si>
    <t>31 (-1; -6)</t>
  </si>
  <si>
    <t>30 (-1; -6)</t>
  </si>
  <si>
    <t>36 (-1; -3)</t>
  </si>
  <si>
    <t>31 (-1; -3)</t>
  </si>
  <si>
    <t>37 (-1; -3)</t>
  </si>
  <si>
    <t>38 (-1; -4)</t>
  </si>
  <si>
    <t>ABATIBLE</t>
  </si>
  <si>
    <t>CORREDERA</t>
  </si>
  <si>
    <t>27 (-1; -1)</t>
  </si>
  <si>
    <t>26 (-1; -1)</t>
  </si>
  <si>
    <t>25 (-1; -1)</t>
  </si>
  <si>
    <t>24 (-1; -1)</t>
  </si>
  <si>
    <t>28 (-1; -3)</t>
  </si>
  <si>
    <t>29 (-1; -3)</t>
  </si>
  <si>
    <t>27 (-1; -3)</t>
  </si>
  <si>
    <t>25 (-1; -3)</t>
  </si>
  <si>
    <t>26 (-1; -3)</t>
  </si>
  <si>
    <t>29 (-1; -2)</t>
  </si>
  <si>
    <t>30 (-1; -2)</t>
  </si>
  <si>
    <t>28 (-1; -2)</t>
  </si>
  <si>
    <t>27 (-1; -2)</t>
  </si>
  <si>
    <t>26 (-1; -2)</t>
  </si>
  <si>
    <t>29 (-1; -1)</t>
  </si>
  <si>
    <t>28 (-1; -1)</t>
  </si>
  <si>
    <t>TRAMO</t>
  </si>
  <si>
    <t>Rw (C; Ctr):</t>
  </si>
  <si>
    <t>Capacidad de Soportar Carga de los Dispositivos de Seguridad</t>
  </si>
  <si>
    <t>Resultado:</t>
  </si>
  <si>
    <t>SEGURIDAD</t>
  </si>
  <si>
    <t>APTO</t>
  </si>
  <si>
    <t>Todos estos datos han sido extrapolados del DB-HE asi como de la norma UNE-EN iso 14351-1:2006, y apoyados por los cálculos elaborados en el laboratorio notificado independiente "Cidemco" Nº 1239, y por los datos de los vidrios facilitados por "Cristalglass" en su página web.</t>
  </si>
  <si>
    <t>Este dato ha sido extrapolados de la norma UNE-EN iso 16409:2004, y apoyados por los cálculos elaborados sobre cada una de las series de Extrugasa que se han realizado en el laboratorio notificado independiente "Cidemco" Nº 1239.</t>
  </si>
  <si>
    <t>Todos estos datos han sido obtenidos mediante ensayo realizado en el laboratorio notificado independiente "Cidemco" Nº 1239, y según cada una de las normas acorde a la normativa sobre el "Marcado CE" de Ventanas.</t>
  </si>
  <si>
    <t>AH = (Am + Av)  (m2)</t>
  </si>
  <si>
    <t>Fijos:</t>
  </si>
  <si>
    <t>Cajón de Persiana:</t>
  </si>
  <si>
    <t>Uc</t>
  </si>
  <si>
    <t>Sin cajón</t>
  </si>
  <si>
    <t>GUIA</t>
  </si>
  <si>
    <t>GUIAS</t>
  </si>
  <si>
    <t>Ancho Total</t>
  </si>
  <si>
    <t>Alto Total</t>
  </si>
  <si>
    <t>Trav. Fijo 1:</t>
  </si>
  <si>
    <t>Trav. Fijo 2:</t>
  </si>
  <si>
    <t>Trav. Fijo 3:</t>
  </si>
  <si>
    <t>Trav. Fijo 4:</t>
  </si>
  <si>
    <t>GRADOS-DÍA CON TEMPERATURAS BASE 15/15 (UNE 24046)</t>
  </si>
  <si>
    <t>Valores mensuales y anuales</t>
  </si>
  <si>
    <t>5Meses</t>
  </si>
  <si>
    <t>Año</t>
  </si>
  <si>
    <t>—</t>
  </si>
  <si>
    <t>Algeciras</t>
  </si>
  <si>
    <t>Cartagena</t>
  </si>
  <si>
    <t>Castellón</t>
  </si>
  <si>
    <t>C. Real</t>
  </si>
  <si>
    <t>Gijón (Oviedo)</t>
  </si>
  <si>
    <t>Coruña (La)</t>
  </si>
  <si>
    <t>Orense</t>
  </si>
  <si>
    <t>San Sebastián</t>
  </si>
  <si>
    <t>Santiago</t>
  </si>
  <si>
    <t>Tortosa</t>
  </si>
  <si>
    <t>Vigo</t>
  </si>
  <si>
    <t>Vitoria</t>
  </si>
  <si>
    <t>Mahón</t>
  </si>
  <si>
    <t>P. de Mallorca</t>
  </si>
  <si>
    <t>Izaña</t>
  </si>
  <si>
    <t>Laguna (La)</t>
  </si>
  <si>
    <t>Las Palmas</t>
  </si>
  <si>
    <t>Santa Cruz</t>
  </si>
  <si>
    <t>Ene</t>
  </si>
  <si>
    <t>Feb</t>
  </si>
  <si>
    <t>Mar</t>
  </si>
  <si>
    <t>Abr</t>
  </si>
  <si>
    <t>May</t>
  </si>
  <si>
    <t>Oct</t>
  </si>
  <si>
    <t>Nov</t>
  </si>
  <si>
    <t>Dic</t>
  </si>
  <si>
    <t>Ensayos de Características:</t>
  </si>
  <si>
    <t>Atenuación Acústica (Rw (C; Ctr)):</t>
  </si>
  <si>
    <t>Datos de Referencia</t>
  </si>
  <si>
    <t>Ciudad:</t>
  </si>
  <si>
    <t>(G) Grados Día anual:</t>
  </si>
  <si>
    <t>(Te) Temp. Exterior:</t>
  </si>
  <si>
    <t>(Te) Temp. Interior:</t>
  </si>
  <si>
    <t>Nº Ventanas:</t>
  </si>
  <si>
    <t>(Ah) Area (m2):</t>
  </si>
  <si>
    <t>(Uh) Transmitancia Térmica del Modelo:</t>
  </si>
  <si>
    <t>m2</t>
  </si>
  <si>
    <t>W</t>
  </si>
  <si>
    <t>KWh</t>
  </si>
  <si>
    <t>(Qa) Perdida de Energía Anual:</t>
  </si>
  <si>
    <t>(Qa) Perdida en Gasoleo Anual:</t>
  </si>
  <si>
    <t>litros</t>
  </si>
  <si>
    <t>Emisiones de CO2:</t>
  </si>
  <si>
    <t>Kg</t>
  </si>
  <si>
    <t>1 MWh = 1000 KWh</t>
  </si>
  <si>
    <t>Perdidas Anuales en MWh:</t>
  </si>
  <si>
    <t>MWh</t>
  </si>
  <si>
    <t>Perdidas Anuales en teps:</t>
  </si>
  <si>
    <t>tep</t>
  </si>
  <si>
    <t>1 tep = 11,62 MWh</t>
  </si>
  <si>
    <t>€</t>
  </si>
  <si>
    <t>(Q) Potencia Térmica Util por Modelo:</t>
  </si>
  <si>
    <r>
      <t>* En el coste por energía del gasoleo, se considera un rendimiento de la caldera de un 80%, y un factor f</t>
    </r>
    <r>
      <rPr>
        <sz val="6"/>
        <color theme="1"/>
        <rFont val="Calibri"/>
        <family val="2"/>
        <scheme val="minor"/>
      </rPr>
      <t>iu</t>
    </r>
    <r>
      <rPr>
        <sz val="8"/>
        <color theme="1"/>
        <rFont val="Arial Narrow"/>
        <family val="2"/>
      </rPr>
      <t xml:space="preserve"> de 1. Para el cálculo de las pérdidas, se ha aplicado la formulación básica de cálculo de las instalaciones de calefacción y aire acondicionado.</t>
    </r>
  </si>
  <si>
    <t>Coste anual en Gasóleo (0,8  € / litro):</t>
  </si>
  <si>
    <t>con Vidrio 6 mm</t>
  </si>
  <si>
    <t>(Qa) (KWh):</t>
  </si>
  <si>
    <t>(Q) (W):</t>
  </si>
  <si>
    <t>(Uh) (W/m2K):</t>
  </si>
  <si>
    <t>* No se han tenido en cuenta las perdidas por filtración de aire en ventanas (1) y (2), ni se ha tenido en cuenta  el factor solar en ninguno de los modelos.</t>
  </si>
  <si>
    <t xml:space="preserve">* Datos de los Grados-día obtenidos de la tabla (15/15) de la Norma UNE En 24046 </t>
  </si>
  <si>
    <t>Cálculos previos relativos al Modelo Unitario</t>
  </si>
  <si>
    <r>
      <t>(</t>
    </r>
    <r>
      <rPr>
        <b/>
        <sz val="8"/>
        <color theme="4" tint="-0.499984740745262"/>
        <rFont val="Arial Narrow"/>
        <family val="2"/>
      </rPr>
      <t>UHlim</t>
    </r>
    <r>
      <rPr>
        <sz val="8"/>
        <color theme="4" tint="-0.499984740745262"/>
        <rFont val="Arial Narrow"/>
        <family val="2"/>
      </rPr>
      <t>)Transm. Límite:</t>
    </r>
  </si>
  <si>
    <r>
      <t>(</t>
    </r>
    <r>
      <rPr>
        <b/>
        <sz val="8"/>
        <color theme="4" tint="-0.499984740745262"/>
        <rFont val="Arial Narrow"/>
        <family val="2"/>
      </rPr>
      <t>Am</t>
    </r>
    <r>
      <rPr>
        <sz val="8"/>
        <color theme="4" tint="-0.499984740745262"/>
        <rFont val="Arial Narrow"/>
        <family val="2"/>
      </rPr>
      <t>) Area Proyect. (m2):</t>
    </r>
  </si>
  <si>
    <t>(UHv) Trans. Vidrio (W/m2K):</t>
  </si>
  <si>
    <t>(Av) Area Proy. Vidrios (m2):</t>
  </si>
  <si>
    <t>∑ (L x Ψ)=</t>
  </si>
  <si>
    <t>∑ (Am x UHm)</t>
  </si>
  <si>
    <t>∑ (Av x UHv)</t>
  </si>
  <si>
    <t>∑ (L x Ψ)</t>
  </si>
  <si>
    <r>
      <t>(</t>
    </r>
    <r>
      <rPr>
        <b/>
        <sz val="8"/>
        <color theme="4" tint="-0.499984740745262"/>
        <rFont val="Arial Narrow"/>
        <family val="2"/>
      </rPr>
      <t>UH</t>
    </r>
    <r>
      <rPr>
        <sz val="8"/>
        <color theme="4" tint="-0.499984740745262"/>
        <rFont val="Arial Narrow"/>
        <family val="2"/>
      </rPr>
      <t>) Transm. Total:</t>
    </r>
  </si>
  <si>
    <r>
      <t>(</t>
    </r>
    <r>
      <rPr>
        <b/>
        <sz val="8"/>
        <color theme="4" tint="-0.499984740745262"/>
        <rFont val="Arial Narrow"/>
        <family val="2"/>
      </rPr>
      <t>UHlim</t>
    </r>
    <r>
      <rPr>
        <sz val="8"/>
        <color theme="4" tint="-0.499984740745262"/>
        <rFont val="Arial Narrow"/>
        <family val="2"/>
      </rPr>
      <t>)Trans. Límite Huecos:</t>
    </r>
  </si>
  <si>
    <r>
      <t>(</t>
    </r>
    <r>
      <rPr>
        <b/>
        <sz val="8"/>
        <color theme="4" tint="-0.499984740745262"/>
        <rFont val="Arial Narrow"/>
        <family val="2"/>
      </rPr>
      <t>UH</t>
    </r>
    <r>
      <rPr>
        <sz val="8"/>
        <color theme="4" tint="-0.499984740745262"/>
        <rFont val="Arial Narrow"/>
        <family val="2"/>
      </rPr>
      <t>) Trans. Total del Hueco:</t>
    </r>
  </si>
  <si>
    <t>Clasif. según Norma UNE EN 12207:2000</t>
  </si>
  <si>
    <t>Clasif. según Norma UNE EN 12208:2000</t>
  </si>
  <si>
    <t>Clasif. según Norma UNE EN 12210:2000</t>
  </si>
  <si>
    <t>Ensayo según Norma UNE En 12211:2000</t>
  </si>
  <si>
    <t>Ensayo según Norma UNE En 1026:2000</t>
  </si>
  <si>
    <t>Ensayo según Norma UNE En 1027:2000</t>
  </si>
  <si>
    <r>
      <t>(</t>
    </r>
    <r>
      <rPr>
        <b/>
        <sz val="8"/>
        <color theme="4" tint="-0.499984740745262"/>
        <rFont val="Arial Narrow"/>
        <family val="2"/>
      </rPr>
      <t>UH</t>
    </r>
    <r>
      <rPr>
        <sz val="8"/>
        <color theme="4" tint="-0.499984740745262"/>
        <rFont val="Arial Narrow"/>
        <family val="2"/>
      </rPr>
      <t>) Transm. Ventana:</t>
    </r>
  </si>
  <si>
    <t>(Qa)=(24xQxG)/ΔT</t>
  </si>
  <si>
    <t>(Q)=AhxUhxΔT</t>
  </si>
  <si>
    <t>(ΔT) Incr. Temp.:</t>
  </si>
  <si>
    <t>(Qa) Perdida de Energía Eléctrica Anual:</t>
  </si>
  <si>
    <t>Coste Anual en Energía Eléctrica (0,14 € / KWh):</t>
  </si>
  <si>
    <t>NORMAL</t>
  </si>
  <si>
    <t>BAJO EMISIVO 1 CAPA</t>
  </si>
  <si>
    <t>CAMARA DE AIRE</t>
  </si>
  <si>
    <t>CAMARA DE ARGON 100%</t>
  </si>
  <si>
    <t>CAMARA DE KRYPTON 100%</t>
  </si>
  <si>
    <t>CAMARA DE XENON 100%</t>
  </si>
  <si>
    <t>ARGON 100%</t>
  </si>
  <si>
    <t>KRYPTON 100%</t>
  </si>
  <si>
    <t>XENON 100%</t>
  </si>
  <si>
    <t>CAMARA 6</t>
  </si>
  <si>
    <t>4/6/4/6/4</t>
  </si>
  <si>
    <t>6/6/6/6/6</t>
  </si>
  <si>
    <t>8/6/8/6/8</t>
  </si>
  <si>
    <t>CAMARA 8</t>
  </si>
  <si>
    <t>4/8/4/8/4</t>
  </si>
  <si>
    <t>6/8/6/8/6</t>
  </si>
  <si>
    <t>8/8/8/8/8</t>
  </si>
  <si>
    <t>CAMARA 10</t>
  </si>
  <si>
    <t>4/10/4/10/4</t>
  </si>
  <si>
    <t>6/10/6/10/6</t>
  </si>
  <si>
    <t>8/10/8/10/8</t>
  </si>
  <si>
    <t>CAMARA 12</t>
  </si>
  <si>
    <t>4/12/4/12/4</t>
  </si>
  <si>
    <t>6/12/6/12/6</t>
  </si>
  <si>
    <t>8/12/8/12/8</t>
  </si>
  <si>
    <t>CAMARA 14</t>
  </si>
  <si>
    <t>4/14/4/14/4</t>
  </si>
  <si>
    <t>6/14/6/14/6</t>
  </si>
  <si>
    <t>8/14/8/14/8</t>
  </si>
  <si>
    <t>BAJO EMISIVO 2 CAPAS</t>
  </si>
  <si>
    <t>Triple Vidrio</t>
  </si>
  <si>
    <t>BASE</t>
  </si>
  <si>
    <t>RESULTADO</t>
  </si>
  <si>
    <t>EMISIVIDAD</t>
  </si>
  <si>
    <t>Normal</t>
  </si>
  <si>
    <t>1 Capa bajo emisiva</t>
  </si>
  <si>
    <t>2 Capas bajo emisivas</t>
  </si>
  <si>
    <t>Vidrio Ext:</t>
  </si>
  <si>
    <t>Vidrio 2:</t>
  </si>
  <si>
    <t>Cámara Int:</t>
  </si>
  <si>
    <t>Camara Ext.</t>
  </si>
  <si>
    <t>Vidrio 3:</t>
  </si>
  <si>
    <t>Cámaras</t>
  </si>
  <si>
    <t>Gas</t>
  </si>
  <si>
    <t>Aire</t>
  </si>
  <si>
    <t>Argón</t>
  </si>
  <si>
    <t>Kryptón</t>
  </si>
  <si>
    <t>Xenon</t>
  </si>
  <si>
    <t>Cámara Ext:</t>
  </si>
  <si>
    <t>Cámara 2:</t>
  </si>
  <si>
    <t>Gas:</t>
  </si>
  <si>
    <t>Ancho x Alto de Fijo 1 (m):</t>
  </si>
  <si>
    <t>x</t>
  </si>
  <si>
    <t>Ancho x Alto de Fijo 2 (m):</t>
  </si>
  <si>
    <t>Ancho x Alto de Fijo 3 (m):</t>
  </si>
  <si>
    <t>Ancho x Alto de Fijo 4 (m):</t>
  </si>
  <si>
    <t>Doble Vidrio Normal</t>
  </si>
  <si>
    <t>Doble Vidrio Bajo emisivo</t>
  </si>
  <si>
    <t>Triple Vidrio Normal</t>
  </si>
  <si>
    <t>Camara</t>
  </si>
  <si>
    <t>Triple Vidrio 1 capa</t>
  </si>
  <si>
    <t>Triple Vidrio 2 capas</t>
  </si>
  <si>
    <t>Esquema para la introducción de los datos de la PERFILERIA</t>
  </si>
  <si>
    <t>Esquema para la introducción de los datos del VIDRIO</t>
  </si>
  <si>
    <r>
      <t>(</t>
    </r>
    <r>
      <rPr>
        <b/>
        <sz val="8"/>
        <color theme="4" tint="-0.499984740745262"/>
        <rFont val="Arial Narrow"/>
        <family val="2"/>
      </rPr>
      <t>UHv</t>
    </r>
    <r>
      <rPr>
        <sz val="8"/>
        <color theme="4" tint="-0.499984740745262"/>
        <rFont val="Arial Narrow"/>
        <family val="2"/>
      </rPr>
      <t>)Transm. Vidrio:</t>
    </r>
  </si>
  <si>
    <t>34 (0; -2)</t>
  </si>
  <si>
    <t>39 (-3; -7)</t>
  </si>
  <si>
    <t>34 (-2; -6)</t>
  </si>
  <si>
    <t>38 (-2; -6)</t>
  </si>
  <si>
    <t>39 (-2; -6)</t>
  </si>
  <si>
    <t>41 (-2; -4)</t>
  </si>
  <si>
    <t>36 (-2; -4)</t>
  </si>
  <si>
    <t>N/D</t>
  </si>
  <si>
    <t>UN VIDRIO</t>
  </si>
  <si>
    <t>CLASE</t>
  </si>
  <si>
    <t>TIPO V</t>
  </si>
  <si>
    <t>V3</t>
  </si>
  <si>
    <t>vidrio</t>
  </si>
  <si>
    <t>32 (-2;-3)</t>
  </si>
  <si>
    <t>33 (-2;-3)</t>
  </si>
  <si>
    <t>27 (C; -2)</t>
  </si>
  <si>
    <t>28 (C; -2)</t>
  </si>
  <si>
    <t>27 (C; -3)</t>
  </si>
  <si>
    <t>28 (C; -3)</t>
  </si>
  <si>
    <t>28 (C; -4)</t>
  </si>
  <si>
    <t>29 (C; -2)</t>
  </si>
  <si>
    <t>29 (C; -3)</t>
  </si>
  <si>
    <t>29 (C; -4)</t>
  </si>
  <si>
    <t>29 (C; -5)</t>
  </si>
  <si>
    <t>30 (C; -2)</t>
  </si>
  <si>
    <t>30 (C; -3)</t>
  </si>
  <si>
    <t>30 (C; -4)</t>
  </si>
  <si>
    <t>30 (C; -5)</t>
  </si>
  <si>
    <t>32 (C; -5)</t>
  </si>
  <si>
    <t>32 (C; -4)</t>
  </si>
  <si>
    <t>32 (C; -2)</t>
  </si>
  <si>
    <t>34 (C; -2)</t>
  </si>
  <si>
    <t>34 (C; -3)</t>
  </si>
  <si>
    <t>36 (C; -2)</t>
  </si>
  <si>
    <t>36 (C; -4)</t>
  </si>
  <si>
    <t>38 (C; -2)</t>
  </si>
  <si>
    <t>38 (C; -4)</t>
  </si>
  <si>
    <t>40 (C; -4)</t>
  </si>
  <si>
    <t>30 (-1; -3)</t>
  </si>
  <si>
    <t>28 (-1; -4)</t>
  </si>
  <si>
    <t>27 (-1; -4)</t>
  </si>
  <si>
    <t>29 (-1; -6)</t>
  </si>
  <si>
    <t>34 (C; -4)</t>
  </si>
  <si>
    <t>23 (-1; -1)</t>
  </si>
  <si>
    <t>22 (-1; -1)</t>
  </si>
  <si>
    <t>25 (-1; -2)</t>
  </si>
  <si>
    <t>24 (-1; -2)</t>
  </si>
  <si>
    <t>23 (-1; -2)</t>
  </si>
  <si>
    <t>24 (-1; -3)</t>
  </si>
  <si>
    <t>vidrios</t>
  </si>
  <si>
    <t>Rw Vidrio</t>
  </si>
  <si>
    <t>Esquema para la introducción de los datos del PROYECTO</t>
  </si>
  <si>
    <t>Descripción del Vidrio (Si conoce las características)</t>
  </si>
  <si>
    <t>Si no Conoce las Características del Vidrio:</t>
  </si>
  <si>
    <t>Uv 2</t>
  </si>
  <si>
    <t>Uv 1</t>
  </si>
  <si>
    <t>Ciudad ref. Ahorro Energía:</t>
  </si>
  <si>
    <t>Temp. Ext.:</t>
  </si>
  <si>
    <t>Temp. Int.:</t>
  </si>
  <si>
    <r>
      <rPr>
        <b/>
        <sz val="8"/>
        <color theme="4" tint="-0.499984740745262"/>
        <rFont val="Arial Narrow"/>
        <family val="2"/>
      </rPr>
      <t>UHlim</t>
    </r>
    <r>
      <rPr>
        <sz val="8"/>
        <color theme="4" tint="-0.499984740745262"/>
        <rFont val="Arial Narrow"/>
        <family val="2"/>
      </rPr>
      <t>:</t>
    </r>
  </si>
  <si>
    <t>Modelo:</t>
  </si>
  <si>
    <t>Esquema para la introducción de los datos de la ZONA CLIMATICA y AHORRO ENERGETICO</t>
  </si>
  <si>
    <t>Ficha Técnica de cálculo para cumplimiento del C.T.E. en su parte DB-HE</t>
  </si>
  <si>
    <t>Ficha Técnica del Producto para el Marcado CE</t>
  </si>
  <si>
    <t>Nombre</t>
  </si>
  <si>
    <t>DESCRIPCIÓN</t>
  </si>
  <si>
    <t>Todos estos datos han sido extrapolados del DB-HE asi como de la norma UNE-EN iso 10077-1:2008, y apoyados por los cálculos computacionales térmicos elaborados sobre cada una de las series de Extrugasa que se han realizado en el laboratorio notificado independiente  "Cidemco" Nº 1239, y por los datos propios de las series tal como sus dimensiones.</t>
  </si>
  <si>
    <t>Todos estos datos han sido extrapolados del DB-HE asi como de la norma UNE-EN iso 10077-2:2008, y apoyados por los cálculos computacionales térmicos realizados en el laboratorio notificado independiente "Cidemco" Nº 1239, y por los datos de las series como sus dimensiones.</t>
  </si>
  <si>
    <t>1 litro=10,58  Kwh *</t>
  </si>
  <si>
    <t>Electricidad (€):</t>
  </si>
  <si>
    <t>Gasoleo (€):</t>
  </si>
  <si>
    <t>Ahorro Anual: (2)-(3)</t>
  </si>
  <si>
    <t>Ahorro Anual: (1)-(3)</t>
  </si>
  <si>
    <t>Ventana Antigua de Aluninio</t>
  </si>
  <si>
    <t>Ventana Antigua de Madera</t>
  </si>
  <si>
    <t>Ahorro (%):</t>
  </si>
  <si>
    <t>1 litro=2,7 Kg/Co2</t>
  </si>
  <si>
    <t>Electricidad :</t>
  </si>
  <si>
    <t>Gasoleo :</t>
  </si>
  <si>
    <t>Programa para el Calculo de los datos técnicos de las series de</t>
  </si>
  <si>
    <t>F i T e C e X</t>
  </si>
  <si>
    <t>Ficha Técnica de Producto para el Ahorro Energético</t>
  </si>
  <si>
    <t xml:space="preserve"> </t>
  </si>
  <si>
    <t>Si las caracteristicas del vidrio son especiales:</t>
  </si>
  <si>
    <t>cajón de 185</t>
  </si>
  <si>
    <t>Anular Intercalario</t>
  </si>
  <si>
    <t>cajón de 155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</si>
</sst>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0.000"/>
    <numFmt numFmtId="166" formatCode="0.00000"/>
    <numFmt numFmtId="167" formatCode="[$-C0A]d\ &quot;de&quot;\ mmmm\ &quot;de&quot;\ yyyy;@"/>
    <numFmt numFmtId="168" formatCode="0.0000"/>
    <numFmt numFmtId="169" formatCode="#,##0.00\ &quot;€&quot;"/>
  </numFmts>
  <fonts count="69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Arial Narrow"/>
      <family val="2"/>
    </font>
    <font>
      <sz val="8"/>
      <color theme="0"/>
      <name val="Calibri"/>
      <family val="2"/>
      <scheme val="minor"/>
    </font>
    <font>
      <sz val="18"/>
      <color theme="4" tint="-0.499984740745262"/>
      <name val="Bookman Old Style"/>
      <family val="1"/>
    </font>
    <font>
      <sz val="8"/>
      <color theme="4" tint="-0.499984740745262"/>
      <name val="Arial"/>
      <family val="2"/>
    </font>
    <font>
      <sz val="10"/>
      <color theme="4" tint="-0.499984740745262"/>
      <name val="Angsana New"/>
      <family val="1"/>
    </font>
    <font>
      <u/>
      <sz val="9"/>
      <color theme="1"/>
      <name val="Calibri"/>
      <family val="2"/>
      <scheme val="minor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b/>
      <sz val="20"/>
      <color theme="0"/>
      <name val="Calibri"/>
      <family val="2"/>
      <scheme val="minor"/>
    </font>
    <font>
      <sz val="10"/>
      <color theme="0" tint="-0.499984740745262"/>
      <name val="Angsana New"/>
      <family val="1"/>
    </font>
    <font>
      <b/>
      <sz val="10"/>
      <color theme="4" tint="-0.499984740745262"/>
      <name val="Calibri"/>
      <family val="2"/>
      <scheme val="minor"/>
    </font>
    <font>
      <sz val="10"/>
      <name val="Arial"/>
      <family val="2"/>
    </font>
    <font>
      <b/>
      <sz val="18"/>
      <color theme="1"/>
      <name val="Arial Narrow"/>
      <family val="2"/>
    </font>
    <font>
      <sz val="8"/>
      <color theme="4" tint="-0.499984740745262"/>
      <name val="Swis721 LtCn BT"/>
      <family val="2"/>
    </font>
    <font>
      <sz val="6"/>
      <color theme="4" tint="-0.499984740745262"/>
      <name val="Swis721 LtCn BT"/>
      <family val="2"/>
    </font>
    <font>
      <sz val="9"/>
      <color theme="1"/>
      <name val="Swis721 LtCn BT"/>
      <family val="2"/>
    </font>
    <font>
      <sz val="7"/>
      <color theme="1"/>
      <name val="Calibri"/>
      <family val="2"/>
      <scheme val="minor"/>
    </font>
    <font>
      <b/>
      <sz val="8"/>
      <color theme="1"/>
      <name val="Swis721 LtCn BT"/>
      <family val="2"/>
    </font>
    <font>
      <b/>
      <sz val="10"/>
      <color theme="1"/>
      <name val="Swis721 LtCn BT"/>
      <family val="2"/>
    </font>
    <font>
      <b/>
      <u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 Black"/>
      <family val="2"/>
    </font>
    <font>
      <sz val="8"/>
      <color theme="0" tint="-0.499984740745262"/>
      <name val="Swis721 LtCn BT"/>
      <family val="2"/>
    </font>
    <font>
      <sz val="10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8"/>
      <color theme="1"/>
      <name val="Swis721 LtCn BT"/>
      <family val="2"/>
    </font>
    <font>
      <b/>
      <sz val="8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8"/>
      <color theme="1"/>
      <name val="Arial Black"/>
      <family val="2"/>
    </font>
    <font>
      <b/>
      <sz val="16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4" tint="-0.499984740745262"/>
      <name val="Arial Narrow"/>
      <family val="2"/>
    </font>
    <font>
      <sz val="10"/>
      <color theme="1"/>
      <name val="Angsana New"/>
      <family val="1"/>
    </font>
    <font>
      <b/>
      <sz val="8"/>
      <color theme="1"/>
      <name val="Calibri"/>
      <family val="2"/>
      <scheme val="minor"/>
    </font>
    <font>
      <b/>
      <sz val="9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Swis721 LtCn BT"/>
      <family val="2"/>
    </font>
    <font>
      <sz val="9"/>
      <color theme="0"/>
      <name val="Calibri"/>
      <family val="2"/>
      <scheme val="minor"/>
    </font>
    <font>
      <sz val="11"/>
      <color rgb="FFC00000"/>
      <name val="Calibri"/>
      <family val="2"/>
      <scheme val="minor"/>
    </font>
    <font>
      <sz val="6"/>
      <color theme="1"/>
      <name val="Calibri"/>
      <family val="2"/>
      <scheme val="minor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b/>
      <sz val="8"/>
      <color theme="1"/>
      <name val="Arial Narrow"/>
      <family val="2"/>
    </font>
    <font>
      <sz val="8"/>
      <color theme="4" tint="-0.499984740745262"/>
      <name val="Arial Narrow"/>
      <family val="2"/>
    </font>
    <font>
      <sz val="8"/>
      <color theme="0" tint="-0.499984740745262"/>
      <name val="Arial Narrow"/>
      <family val="2"/>
    </font>
    <font>
      <b/>
      <sz val="8"/>
      <color theme="4" tint="-0.499984740745262"/>
      <name val="Arial Narrow"/>
      <family val="2"/>
    </font>
    <font>
      <b/>
      <sz val="8"/>
      <color theme="0" tint="-4.9989318521683403E-2"/>
      <name val="Arial Narrow"/>
      <family val="2"/>
    </font>
    <font>
      <b/>
      <sz val="8"/>
      <color theme="2" tint="-0.749992370372631"/>
      <name val="Arial Narrow"/>
      <family val="2"/>
    </font>
    <font>
      <b/>
      <sz val="8"/>
      <color theme="0"/>
      <name val="Arial Narrow"/>
      <family val="2"/>
    </font>
    <font>
      <b/>
      <sz val="8"/>
      <name val="Arial Narrow"/>
      <family val="2"/>
    </font>
    <font>
      <sz val="8"/>
      <color theme="0"/>
      <name val="Arial Narrow"/>
      <family val="2"/>
    </font>
    <font>
      <sz val="8"/>
      <name val="Arial Narrow"/>
      <family val="2"/>
    </font>
    <font>
      <b/>
      <sz val="9"/>
      <color theme="1"/>
      <name val="Calibri"/>
      <family val="2"/>
      <scheme val="minor"/>
    </font>
    <font>
      <b/>
      <sz val="8"/>
      <color theme="2" tint="-0.749961851863155"/>
      <name val="Arial Narrow"/>
      <family val="2"/>
    </font>
    <font>
      <sz val="10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0"/>
      <color theme="0"/>
      <name val="Arial"/>
      <family val="2"/>
    </font>
    <font>
      <b/>
      <sz val="12"/>
      <color theme="1"/>
      <name val="Arial Narrow"/>
      <family val="2"/>
    </font>
    <font>
      <sz val="9"/>
      <color theme="0"/>
      <name val="Bookman Old Style"/>
      <family val="1"/>
    </font>
    <font>
      <sz val="10"/>
      <color theme="0"/>
      <name val="Calibri"/>
      <family val="2"/>
      <scheme val="minor"/>
    </font>
    <font>
      <b/>
      <sz val="12"/>
      <color theme="0" tint="-0.14999847407452621"/>
      <name val="Bookman Old Style"/>
      <family val="1"/>
    </font>
    <font>
      <sz val="8"/>
      <color theme="0" tint="-0.14999847407452621"/>
      <name val="Arial Narrow"/>
      <family val="2"/>
    </font>
    <font>
      <sz val="14"/>
      <color theme="0" tint="-0.14999847407452621"/>
      <name val="Bookman Old Style"/>
      <family val="1"/>
    </font>
    <font>
      <sz val="8"/>
      <color theme="0" tint="-0.14999847407452621"/>
      <name val="Bookman Old Style"/>
      <family val="1"/>
    </font>
  </fonts>
  <fills count="48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D29C04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1" tint="0.34998626667073579"/>
        <bgColor indexed="64"/>
      </patternFill>
    </fill>
    <fill>
      <gradientFill>
        <stop position="0">
          <color theme="4" tint="0.40000610370189521"/>
        </stop>
        <stop position="1">
          <color theme="4" tint="0.80001220740379042"/>
        </stop>
      </gradientFill>
    </fill>
    <fill>
      <patternFill patternType="solid">
        <fgColor theme="1" tint="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3" tint="-0.24994659260841701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0.39994506668294322"/>
        <bgColor indexed="64"/>
      </patternFill>
    </fill>
  </fills>
  <borders count="14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hair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/>
      <bottom/>
      <diagonal/>
    </border>
    <border>
      <left style="double">
        <color auto="1"/>
      </left>
      <right style="medium">
        <color auto="1"/>
      </right>
      <top style="double">
        <color auto="1"/>
      </top>
      <bottom/>
      <diagonal/>
    </border>
    <border>
      <left style="medium">
        <color auto="1"/>
      </left>
      <right style="medium">
        <color auto="1"/>
      </right>
      <top style="double">
        <color auto="1"/>
      </top>
      <bottom/>
      <diagonal/>
    </border>
    <border>
      <left style="medium">
        <color auto="1"/>
      </left>
      <right style="double">
        <color auto="1"/>
      </right>
      <top style="double">
        <color auto="1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ck">
        <color auto="1"/>
      </right>
      <top/>
      <bottom/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 style="medium">
        <color auto="1"/>
      </bottom>
      <diagonal/>
    </border>
    <border>
      <left/>
      <right/>
      <top style="double">
        <color auto="1"/>
      </top>
      <bottom style="medium">
        <color auto="1"/>
      </bottom>
      <diagonal/>
    </border>
    <border>
      <left/>
      <right style="medium">
        <color auto="1"/>
      </right>
      <top style="double">
        <color auto="1"/>
      </top>
      <bottom style="medium">
        <color auto="1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/>
      <diagonal/>
    </border>
    <border>
      <left style="hair">
        <color theme="0" tint="-0.499984740745262"/>
      </left>
      <right style="hair">
        <color theme="0" tint="-0.499984740745262"/>
      </right>
      <top/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/>
      <bottom/>
      <diagonal/>
    </border>
    <border>
      <left style="hair">
        <color theme="0" tint="-0.499984740745262"/>
      </left>
      <right/>
      <top style="hair">
        <color theme="0" tint="-0.499984740745262"/>
      </top>
      <bottom/>
      <diagonal/>
    </border>
    <border>
      <left/>
      <right/>
      <top style="hair">
        <color theme="0" tint="-0.499984740745262"/>
      </top>
      <bottom/>
      <diagonal/>
    </border>
    <border>
      <left/>
      <right style="hair">
        <color theme="0" tint="-0.499984740745262"/>
      </right>
      <top style="hair">
        <color theme="0" tint="-0.499984740745262"/>
      </top>
      <bottom/>
      <diagonal/>
    </border>
    <border>
      <left style="hair">
        <color theme="0" tint="-0.499984740745262"/>
      </left>
      <right/>
      <top/>
      <bottom/>
      <diagonal/>
    </border>
    <border>
      <left/>
      <right style="hair">
        <color theme="0" tint="-0.499984740745262"/>
      </right>
      <top/>
      <bottom/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hair">
        <color theme="0" tint="-0.499984740745262"/>
      </left>
      <right/>
      <top/>
      <bottom style="hair">
        <color theme="0" tint="-0.499984740745262"/>
      </bottom>
      <diagonal/>
    </border>
    <border>
      <left/>
      <right/>
      <top/>
      <bottom style="hair">
        <color theme="0" tint="-0.499984740745262"/>
      </bottom>
      <diagonal/>
    </border>
    <border>
      <left/>
      <right style="hair">
        <color theme="0" tint="-0.499984740745262"/>
      </right>
      <top/>
      <bottom style="hair">
        <color theme="0" tint="-0.49998474074526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/>
      <right/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medium">
        <color theme="0" tint="-0.499984740745262"/>
      </top>
      <bottom/>
      <diagonal/>
    </border>
    <border>
      <left/>
      <right style="double">
        <color theme="0" tint="-0.499984740745262"/>
      </right>
      <top style="medium">
        <color theme="0" tint="-0.499984740745262"/>
      </top>
      <bottom/>
      <diagonal/>
    </border>
    <border>
      <left style="double">
        <color theme="0" tint="-0.499984740745262"/>
      </left>
      <right/>
      <top style="medium">
        <color theme="0" tint="-0.499984740745262"/>
      </top>
      <bottom/>
      <diagonal/>
    </border>
    <border>
      <left/>
      <right style="double">
        <color theme="0" tint="-0.499984740745262"/>
      </right>
      <top/>
      <bottom/>
      <diagonal/>
    </border>
    <border>
      <left style="double">
        <color theme="0" tint="-0.499984740745262"/>
      </left>
      <right/>
      <top/>
      <bottom/>
      <diagonal/>
    </border>
    <border>
      <left style="double">
        <color theme="0" tint="-0.499984740745262"/>
      </left>
      <right/>
      <top/>
      <bottom style="double">
        <color theme="0" tint="-0.499984740745262"/>
      </bottom>
      <diagonal/>
    </border>
    <border>
      <left/>
      <right/>
      <top/>
      <bottom style="double">
        <color theme="0" tint="-0.499984740745262"/>
      </bottom>
      <diagonal/>
    </border>
    <border>
      <left/>
      <right/>
      <top style="hair">
        <color theme="0" tint="-0.499984740745262"/>
      </top>
      <bottom style="double">
        <color theme="0" tint="-0.499984740745262"/>
      </bottom>
      <diagonal/>
    </border>
    <border>
      <left/>
      <right style="double">
        <color theme="0" tint="-0.499984740745262"/>
      </right>
      <top/>
      <bottom style="double">
        <color theme="0" tint="-0.499984740745262"/>
      </bottom>
      <diagonal/>
    </border>
    <border>
      <left/>
      <right/>
      <top/>
      <bottom style="thick">
        <color theme="0" tint="-0.499984740745262"/>
      </bottom>
      <diagonal/>
    </border>
    <border>
      <left style="double">
        <color theme="0" tint="-0.499984740745262"/>
      </left>
      <right/>
      <top style="thick">
        <color theme="0" tint="-0.499984740745262"/>
      </top>
      <bottom/>
      <diagonal/>
    </border>
    <border>
      <left/>
      <right/>
      <top style="thick">
        <color theme="0" tint="-0.499984740745262"/>
      </top>
      <bottom/>
      <diagonal/>
    </border>
    <border>
      <left/>
      <right style="double">
        <color theme="0" tint="-0.499984740745262"/>
      </right>
      <top style="thick">
        <color theme="0" tint="-0.499984740745262"/>
      </top>
      <bottom/>
      <diagonal/>
    </border>
    <border>
      <left style="double">
        <color theme="0" tint="-0.499984740745262"/>
      </left>
      <right/>
      <top style="double">
        <color theme="0" tint="-0.499984740745262"/>
      </top>
      <bottom/>
      <diagonal/>
    </border>
    <border>
      <left/>
      <right/>
      <top style="double">
        <color theme="0" tint="-0.499984740745262"/>
      </top>
      <bottom/>
      <diagonal/>
    </border>
    <border>
      <left/>
      <right style="double">
        <color theme="0" tint="-0.499984740745262"/>
      </right>
      <top style="double">
        <color theme="0" tint="-0.499984740745262"/>
      </top>
      <bottom/>
      <diagonal/>
    </border>
    <border>
      <left/>
      <right style="thick">
        <color auto="1"/>
      </right>
      <top/>
      <bottom style="double">
        <color auto="1"/>
      </bottom>
      <diagonal/>
    </border>
    <border>
      <left style="double">
        <color theme="0" tint="-0.499984740745262"/>
      </left>
      <right/>
      <top style="thick">
        <color theme="0" tint="-0.499984740745262"/>
      </top>
      <bottom style="medium">
        <color theme="0" tint="-0.499984740745262"/>
      </bottom>
      <diagonal/>
    </border>
    <border>
      <left/>
      <right/>
      <top style="thick">
        <color theme="0" tint="-0.499984740745262"/>
      </top>
      <bottom style="medium">
        <color theme="0" tint="-0.499984740745262"/>
      </bottom>
      <diagonal/>
    </border>
    <border>
      <left/>
      <right style="double">
        <color theme="0" tint="-0.499984740745262"/>
      </right>
      <top style="thick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</borders>
  <cellStyleXfs count="3">
    <xf numFmtId="0" fontId="0" fillId="0" borderId="0"/>
    <xf numFmtId="0" fontId="15" fillId="0" borderId="0"/>
    <xf numFmtId="9" fontId="40" fillId="0" borderId="0" applyFont="0" applyFill="0" applyBorder="0" applyAlignment="0" applyProtection="0"/>
  </cellStyleXfs>
  <cellXfs count="740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3" fillId="0" borderId="9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5" fillId="5" borderId="10" xfId="0" applyFont="1" applyFill="1" applyBorder="1" applyAlignment="1">
      <alignment horizontal="center"/>
    </xf>
    <xf numFmtId="0" fontId="0" fillId="0" borderId="0" xfId="0" applyBorder="1"/>
    <xf numFmtId="0" fontId="8" fillId="0" borderId="0" xfId="0" applyFont="1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5" xfId="0" applyFont="1" applyBorder="1"/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7" borderId="5" xfId="0" applyFont="1" applyFill="1" applyBorder="1" applyAlignment="1">
      <alignment horizontal="center"/>
    </xf>
    <xf numFmtId="0" fontId="3" fillId="0" borderId="35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3" fillId="0" borderId="36" xfId="0" applyFont="1" applyBorder="1" applyAlignment="1">
      <alignment horizontal="center"/>
    </xf>
    <xf numFmtId="0" fontId="3" fillId="0" borderId="37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0" fillId="7" borderId="9" xfId="0" applyFill="1" applyBorder="1" applyAlignment="1">
      <alignment horizontal="center"/>
    </xf>
    <xf numFmtId="164" fontId="0" fillId="8" borderId="39" xfId="0" applyNumberFormat="1" applyFill="1" applyBorder="1" applyAlignment="1">
      <alignment horizontal="center"/>
    </xf>
    <xf numFmtId="164" fontId="0" fillId="8" borderId="40" xfId="0" applyNumberFormat="1" applyFill="1" applyBorder="1" applyAlignment="1">
      <alignment horizontal="center"/>
    </xf>
    <xf numFmtId="164" fontId="0" fillId="8" borderId="41" xfId="0" applyNumberFormat="1" applyFill="1" applyBorder="1" applyAlignment="1">
      <alignment horizontal="center"/>
    </xf>
    <xf numFmtId="164" fontId="0" fillId="8" borderId="29" xfId="0" applyNumberFormat="1" applyFill="1" applyBorder="1" applyAlignment="1">
      <alignment horizontal="center"/>
    </xf>
    <xf numFmtId="164" fontId="0" fillId="8" borderId="10" xfId="0" applyNumberFormat="1" applyFill="1" applyBorder="1" applyAlignment="1">
      <alignment horizontal="center"/>
    </xf>
    <xf numFmtId="164" fontId="0" fillId="8" borderId="42" xfId="0" applyNumberFormat="1" applyFill="1" applyBorder="1" applyAlignment="1">
      <alignment horizontal="center"/>
    </xf>
    <xf numFmtId="164" fontId="0" fillId="8" borderId="43" xfId="0" applyNumberFormat="1" applyFill="1" applyBorder="1" applyAlignment="1">
      <alignment horizontal="center"/>
    </xf>
    <xf numFmtId="164" fontId="0" fillId="8" borderId="44" xfId="0" applyNumberFormat="1" applyFill="1" applyBorder="1" applyAlignment="1">
      <alignment horizontal="center"/>
    </xf>
    <xf numFmtId="164" fontId="0" fillId="8" borderId="45" xfId="0" applyNumberFormat="1" applyFill="1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51" xfId="0" applyBorder="1" applyAlignment="1">
      <alignment horizontal="center"/>
    </xf>
    <xf numFmtId="0" fontId="0" fillId="6" borderId="0" xfId="0" applyFill="1" applyAlignment="1">
      <alignment horizontal="center"/>
    </xf>
    <xf numFmtId="0" fontId="0" fillId="6" borderId="0" xfId="0" quotePrefix="1" applyFill="1" applyAlignment="1">
      <alignment horizontal="center"/>
    </xf>
    <xf numFmtId="0" fontId="0" fillId="6" borderId="0" xfId="0" applyFill="1" applyBorder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Border="1" applyAlignment="1">
      <alignment horizontal="center"/>
    </xf>
    <xf numFmtId="0" fontId="2" fillId="0" borderId="52" xfId="0" applyFont="1" applyBorder="1" applyAlignment="1">
      <alignment horizontal="center" vertical="center"/>
    </xf>
    <xf numFmtId="0" fontId="2" fillId="0" borderId="53" xfId="0" applyFont="1" applyBorder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0" fontId="2" fillId="0" borderId="55" xfId="0" applyFont="1" applyBorder="1" applyAlignment="1">
      <alignment horizontal="center" vertical="center"/>
    </xf>
    <xf numFmtId="0" fontId="2" fillId="0" borderId="56" xfId="0" applyFont="1" applyBorder="1" applyAlignment="1">
      <alignment horizontal="center" vertical="center"/>
    </xf>
    <xf numFmtId="0" fontId="2" fillId="0" borderId="57" xfId="0" applyFont="1" applyBorder="1" applyAlignment="1">
      <alignment horizontal="center" vertical="center"/>
    </xf>
    <xf numFmtId="0" fontId="17" fillId="11" borderId="58" xfId="0" applyFont="1" applyFill="1" applyBorder="1" applyAlignment="1">
      <alignment horizontal="center" vertical="center" wrapText="1"/>
    </xf>
    <xf numFmtId="0" fontId="17" fillId="11" borderId="59" xfId="0" applyFont="1" applyFill="1" applyBorder="1" applyAlignment="1">
      <alignment horizontal="center" vertical="center" wrapText="1"/>
    </xf>
    <xf numFmtId="0" fontId="17" fillId="11" borderId="60" xfId="0" applyFont="1" applyFill="1" applyBorder="1" applyAlignment="1">
      <alignment horizontal="center" vertical="center" wrapText="1"/>
    </xf>
    <xf numFmtId="0" fontId="17" fillId="11" borderId="61" xfId="0" applyFont="1" applyFill="1" applyBorder="1" applyAlignment="1">
      <alignment horizontal="center" vertical="center" wrapText="1"/>
    </xf>
    <xf numFmtId="0" fontId="17" fillId="11" borderId="62" xfId="0" applyFont="1" applyFill="1" applyBorder="1" applyAlignment="1">
      <alignment horizontal="center" vertical="center" wrapText="1"/>
    </xf>
    <xf numFmtId="0" fontId="3" fillId="0" borderId="34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2" fillId="0" borderId="64" xfId="0" applyFont="1" applyBorder="1" applyAlignment="1">
      <alignment horizontal="center"/>
    </xf>
    <xf numFmtId="0" fontId="2" fillId="0" borderId="65" xfId="0" applyFont="1" applyBorder="1" applyAlignment="1">
      <alignment horizontal="center"/>
    </xf>
    <xf numFmtId="0" fontId="2" fillId="0" borderId="66" xfId="0" applyFont="1" applyBorder="1" applyAlignment="1">
      <alignment horizontal="center"/>
    </xf>
    <xf numFmtId="0" fontId="3" fillId="0" borderId="67" xfId="0" applyFont="1" applyBorder="1" applyAlignment="1">
      <alignment horizontal="center"/>
    </xf>
    <xf numFmtId="0" fontId="3" fillId="0" borderId="63" xfId="0" applyFont="1" applyBorder="1" applyAlignment="1">
      <alignment horizontal="center"/>
    </xf>
    <xf numFmtId="165" fontId="3" fillId="13" borderId="9" xfId="0" applyNumberFormat="1" applyFont="1" applyFill="1" applyBorder="1" applyAlignment="1">
      <alignment horizontal="center"/>
    </xf>
    <xf numFmtId="166" fontId="3" fillId="0" borderId="9" xfId="0" applyNumberFormat="1" applyFont="1" applyBorder="1" applyAlignment="1">
      <alignment horizontal="center"/>
    </xf>
    <xf numFmtId="2" fontId="0" fillId="0" borderId="0" xfId="0" applyNumberFormat="1" applyAlignment="1">
      <alignment horizontal="center"/>
    </xf>
    <xf numFmtId="165" fontId="3" fillId="0" borderId="0" xfId="0" applyNumberFormat="1" applyFont="1"/>
    <xf numFmtId="0" fontId="0" fillId="0" borderId="75" xfId="0" applyBorder="1"/>
    <xf numFmtId="0" fontId="0" fillId="0" borderId="76" xfId="0" applyBorder="1"/>
    <xf numFmtId="0" fontId="2" fillId="0" borderId="0" xfId="0" applyFont="1" applyAlignment="1">
      <alignment horizontal="center"/>
    </xf>
    <xf numFmtId="0" fontId="19" fillId="6" borderId="7" xfId="0" applyFont="1" applyFill="1" applyBorder="1" applyAlignment="1">
      <alignment vertical="center"/>
    </xf>
    <xf numFmtId="0" fontId="0" fillId="6" borderId="7" xfId="0" applyFill="1" applyBorder="1"/>
    <xf numFmtId="0" fontId="3" fillId="0" borderId="0" xfId="0" applyFont="1" applyAlignment="1">
      <alignment horizontal="center"/>
    </xf>
    <xf numFmtId="0" fontId="10" fillId="0" borderId="0" xfId="0" applyFont="1"/>
    <xf numFmtId="0" fontId="0" fillId="0" borderId="34" xfId="0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4" fillId="0" borderId="36" xfId="0" applyFont="1" applyBorder="1" applyAlignment="1">
      <alignment horizontal="left"/>
    </xf>
    <xf numFmtId="0" fontId="4" fillId="0" borderId="38" xfId="0" applyFont="1" applyBorder="1" applyAlignment="1">
      <alignment horizontal="left"/>
    </xf>
    <xf numFmtId="0" fontId="27" fillId="0" borderId="0" xfId="0" applyFont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3" fillId="0" borderId="47" xfId="0" applyFont="1" applyBorder="1" applyAlignment="1">
      <alignment horizontal="center"/>
    </xf>
    <xf numFmtId="0" fontId="3" fillId="0" borderId="49" xfId="0" applyFont="1" applyBorder="1" applyAlignment="1">
      <alignment horizontal="center"/>
    </xf>
    <xf numFmtId="0" fontId="3" fillId="0" borderId="51" xfId="0" applyFont="1" applyBorder="1" applyAlignment="1">
      <alignment horizontal="center"/>
    </xf>
    <xf numFmtId="2" fontId="0" fillId="0" borderId="0" xfId="0" applyNumberFormat="1"/>
    <xf numFmtId="0" fontId="3" fillId="0" borderId="0" xfId="0" applyFont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63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4" fillId="6" borderId="0" xfId="0" applyFont="1" applyFill="1" applyBorder="1" applyAlignment="1">
      <alignment horizontal="center"/>
    </xf>
    <xf numFmtId="0" fontId="3" fillId="6" borderId="0" xfId="0" applyFont="1" applyFill="1" applyBorder="1" applyAlignment="1">
      <alignment horizontal="center" vertical="center"/>
    </xf>
    <xf numFmtId="0" fontId="11" fillId="0" borderId="80" xfId="0" applyFont="1" applyBorder="1" applyAlignment="1" applyProtection="1">
      <alignment horizontal="left"/>
      <protection locked="0"/>
    </xf>
    <xf numFmtId="0" fontId="10" fillId="0" borderId="80" xfId="0" applyFont="1" applyBorder="1" applyAlignment="1" applyProtection="1">
      <alignment horizontal="left"/>
      <protection locked="0"/>
    </xf>
    <xf numFmtId="0" fontId="36" fillId="0" borderId="0" xfId="0" applyFont="1" applyAlignment="1">
      <alignment horizontal="left"/>
    </xf>
    <xf numFmtId="0" fontId="37" fillId="0" borderId="0" xfId="0" applyFont="1"/>
    <xf numFmtId="0" fontId="11" fillId="0" borderId="0" xfId="0" applyFont="1"/>
    <xf numFmtId="0" fontId="2" fillId="0" borderId="0" xfId="0" applyFont="1"/>
    <xf numFmtId="0" fontId="2" fillId="0" borderId="0" xfId="0" applyFont="1" applyBorder="1" applyAlignment="1">
      <alignment horizontal="center"/>
    </xf>
    <xf numFmtId="0" fontId="5" fillId="16" borderId="9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0" fontId="0" fillId="0" borderId="9" xfId="0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93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94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2" fillId="0" borderId="0" xfId="0" applyFont="1" applyAlignment="1">
      <alignment wrapText="1"/>
    </xf>
    <xf numFmtId="0" fontId="2" fillId="0" borderId="0" xfId="0" applyFont="1" applyAlignment="1"/>
    <xf numFmtId="0" fontId="42" fillId="16" borderId="0" xfId="0" applyFont="1" applyFill="1" applyAlignment="1">
      <alignment horizontal="center"/>
    </xf>
    <xf numFmtId="0" fontId="2" fillId="19" borderId="98" xfId="0" applyFont="1" applyFill="1" applyBorder="1" applyAlignment="1">
      <alignment horizontal="center"/>
    </xf>
    <xf numFmtId="0" fontId="2" fillId="19" borderId="11" xfId="0" applyFont="1" applyFill="1" applyBorder="1" applyAlignment="1">
      <alignment horizontal="center"/>
    </xf>
    <xf numFmtId="0" fontId="0" fillId="2" borderId="14" xfId="0" applyFill="1" applyBorder="1" applyAlignment="1">
      <alignment horizontal="center" vertical="center"/>
    </xf>
    <xf numFmtId="0" fontId="0" fillId="2" borderId="34" xfId="0" applyFill="1" applyBorder="1" applyAlignment="1">
      <alignment horizontal="center" vertical="center"/>
    </xf>
    <xf numFmtId="0" fontId="1" fillId="17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43" fillId="0" borderId="0" xfId="0" applyFont="1"/>
    <xf numFmtId="0" fontId="33" fillId="0" borderId="0" xfId="0" applyFont="1" applyAlignment="1">
      <alignment horizontal="center"/>
    </xf>
    <xf numFmtId="4" fontId="2" fillId="0" borderId="0" xfId="0" applyNumberFormat="1" applyFont="1"/>
    <xf numFmtId="0" fontId="4" fillId="0" borderId="0" xfId="0" applyFont="1" applyAlignment="1">
      <alignment horizontal="right"/>
    </xf>
    <xf numFmtId="0" fontId="0" fillId="0" borderId="0" xfId="0" applyProtection="1"/>
    <xf numFmtId="0" fontId="0" fillId="0" borderId="0" xfId="0" applyBorder="1" applyProtection="1"/>
    <xf numFmtId="0" fontId="8" fillId="0" borderId="0" xfId="0" applyFont="1" applyProtection="1"/>
    <xf numFmtId="0" fontId="37" fillId="0" borderId="0" xfId="0" applyFont="1" applyProtection="1"/>
    <xf numFmtId="0" fontId="11" fillId="0" borderId="0" xfId="0" applyFont="1" applyProtection="1"/>
    <xf numFmtId="0" fontId="4" fillId="0" borderId="0" xfId="0" applyFont="1" applyAlignment="1" applyProtection="1">
      <alignment vertical="top" wrapText="1"/>
    </xf>
    <xf numFmtId="0" fontId="48" fillId="0" borderId="0" xfId="0" applyFont="1" applyProtection="1"/>
    <xf numFmtId="0" fontId="50" fillId="0" borderId="0" xfId="0" applyFont="1" applyProtection="1"/>
    <xf numFmtId="0" fontId="4" fillId="0" borderId="0" xfId="0" applyFont="1" applyAlignment="1">
      <alignment horizontal="center"/>
    </xf>
    <xf numFmtId="0" fontId="4" fillId="22" borderId="0" xfId="0" applyFont="1" applyFill="1" applyAlignment="1">
      <alignment horizontal="center"/>
    </xf>
    <xf numFmtId="0" fontId="47" fillId="24" borderId="9" xfId="0" applyFont="1" applyFill="1" applyBorder="1" applyAlignment="1">
      <alignment horizontal="center"/>
    </xf>
    <xf numFmtId="0" fontId="4" fillId="15" borderId="2" xfId="0" applyFont="1" applyFill="1" applyBorder="1" applyAlignment="1">
      <alignment horizontal="center"/>
    </xf>
    <xf numFmtId="0" fontId="4" fillId="15" borderId="3" xfId="0" applyFont="1" applyFill="1" applyBorder="1" applyAlignment="1">
      <alignment horizontal="center"/>
    </xf>
    <xf numFmtId="0" fontId="4" fillId="15" borderId="4" xfId="0" applyFont="1" applyFill="1" applyBorder="1" applyAlignment="1">
      <alignment horizontal="center"/>
    </xf>
    <xf numFmtId="164" fontId="51" fillId="25" borderId="101" xfId="0" applyNumberFormat="1" applyFont="1" applyFill="1" applyBorder="1" applyAlignment="1">
      <alignment horizontal="center"/>
    </xf>
    <xf numFmtId="164" fontId="51" fillId="25" borderId="102" xfId="0" applyNumberFormat="1" applyFont="1" applyFill="1" applyBorder="1" applyAlignment="1">
      <alignment horizontal="center"/>
    </xf>
    <xf numFmtId="164" fontId="52" fillId="2" borderId="101" xfId="0" applyNumberFormat="1" applyFont="1" applyFill="1" applyBorder="1" applyAlignment="1">
      <alignment horizontal="center"/>
    </xf>
    <xf numFmtId="164" fontId="52" fillId="2" borderId="102" xfId="0" applyNumberFormat="1" applyFont="1" applyFill="1" applyBorder="1" applyAlignment="1">
      <alignment horizontal="center"/>
    </xf>
    <xf numFmtId="164" fontId="52" fillId="27" borderId="102" xfId="0" applyNumberFormat="1" applyFont="1" applyFill="1" applyBorder="1" applyAlignment="1">
      <alignment horizontal="center"/>
    </xf>
    <xf numFmtId="164" fontId="51" fillId="3" borderId="103" xfId="0" applyNumberFormat="1" applyFont="1" applyFill="1" applyBorder="1" applyAlignment="1">
      <alignment horizontal="center"/>
    </xf>
    <xf numFmtId="164" fontId="52" fillId="28" borderId="101" xfId="0" applyNumberFormat="1" applyFont="1" applyFill="1" applyBorder="1" applyAlignment="1">
      <alignment horizontal="center"/>
    </xf>
    <xf numFmtId="164" fontId="52" fillId="28" borderId="102" xfId="0" applyNumberFormat="1" applyFont="1" applyFill="1" applyBorder="1" applyAlignment="1">
      <alignment horizontal="center"/>
    </xf>
    <xf numFmtId="164" fontId="52" fillId="29" borderId="102" xfId="0" applyNumberFormat="1" applyFont="1" applyFill="1" applyBorder="1" applyAlignment="1">
      <alignment horizontal="center"/>
    </xf>
    <xf numFmtId="164" fontId="52" fillId="29" borderId="103" xfId="0" applyNumberFormat="1" applyFont="1" applyFill="1" applyBorder="1" applyAlignment="1">
      <alignment horizontal="center"/>
    </xf>
    <xf numFmtId="164" fontId="52" fillId="29" borderId="101" xfId="0" applyNumberFormat="1" applyFont="1" applyFill="1" applyBorder="1" applyAlignment="1">
      <alignment horizontal="center"/>
    </xf>
    <xf numFmtId="164" fontId="52" fillId="30" borderId="102" xfId="0" applyNumberFormat="1" applyFont="1" applyFill="1" applyBorder="1" applyAlignment="1">
      <alignment horizontal="center"/>
    </xf>
    <xf numFmtId="164" fontId="52" fillId="30" borderId="103" xfId="0" applyNumberFormat="1" applyFont="1" applyFill="1" applyBorder="1" applyAlignment="1">
      <alignment horizontal="center"/>
    </xf>
    <xf numFmtId="164" fontId="52" fillId="31" borderId="101" xfId="0" applyNumberFormat="1" applyFont="1" applyFill="1" applyBorder="1" applyAlignment="1">
      <alignment horizontal="center"/>
    </xf>
    <xf numFmtId="164" fontId="52" fillId="31" borderId="102" xfId="0" applyNumberFormat="1" applyFont="1" applyFill="1" applyBorder="1" applyAlignment="1">
      <alignment horizontal="center"/>
    </xf>
    <xf numFmtId="164" fontId="52" fillId="32" borderId="102" xfId="0" applyNumberFormat="1" applyFont="1" applyFill="1" applyBorder="1" applyAlignment="1">
      <alignment horizontal="center"/>
    </xf>
    <xf numFmtId="164" fontId="52" fillId="32" borderId="103" xfId="0" applyNumberFormat="1" applyFont="1" applyFill="1" applyBorder="1" applyAlignment="1">
      <alignment horizontal="center"/>
    </xf>
    <xf numFmtId="164" fontId="52" fillId="14" borderId="101" xfId="0" applyNumberFormat="1" applyFont="1" applyFill="1" applyBorder="1" applyAlignment="1">
      <alignment horizontal="center"/>
    </xf>
    <xf numFmtId="164" fontId="52" fillId="14" borderId="102" xfId="0" applyNumberFormat="1" applyFont="1" applyFill="1" applyBorder="1" applyAlignment="1">
      <alignment horizontal="center"/>
    </xf>
    <xf numFmtId="164" fontId="52" fillId="14" borderId="103" xfId="0" applyNumberFormat="1" applyFont="1" applyFill="1" applyBorder="1" applyAlignment="1">
      <alignment horizontal="center"/>
    </xf>
    <xf numFmtId="164" fontId="52" fillId="13" borderId="101" xfId="0" applyNumberFormat="1" applyFont="1" applyFill="1" applyBorder="1" applyAlignment="1">
      <alignment horizontal="center"/>
    </xf>
    <xf numFmtId="164" fontId="52" fillId="13" borderId="102" xfId="0" applyNumberFormat="1" applyFont="1" applyFill="1" applyBorder="1" applyAlignment="1">
      <alignment horizontal="center"/>
    </xf>
    <xf numFmtId="164" fontId="52" fillId="33" borderId="103" xfId="0" applyNumberFormat="1" applyFont="1" applyFill="1" applyBorder="1" applyAlignment="1">
      <alignment horizontal="center"/>
    </xf>
    <xf numFmtId="164" fontId="52" fillId="34" borderId="101" xfId="0" applyNumberFormat="1" applyFont="1" applyFill="1" applyBorder="1" applyAlignment="1">
      <alignment horizontal="center"/>
    </xf>
    <xf numFmtId="164" fontId="52" fillId="34" borderId="102" xfId="0" applyNumberFormat="1" applyFont="1" applyFill="1" applyBorder="1" applyAlignment="1">
      <alignment horizontal="center"/>
    </xf>
    <xf numFmtId="164" fontId="52" fillId="11" borderId="102" xfId="0" applyNumberFormat="1" applyFont="1" applyFill="1" applyBorder="1" applyAlignment="1">
      <alignment horizontal="center"/>
    </xf>
    <xf numFmtId="164" fontId="52" fillId="11" borderId="103" xfId="0" applyNumberFormat="1" applyFont="1" applyFill="1" applyBorder="1" applyAlignment="1">
      <alignment horizontal="center"/>
    </xf>
    <xf numFmtId="164" fontId="51" fillId="25" borderId="104" xfId="0" applyNumberFormat="1" applyFont="1" applyFill="1" applyBorder="1" applyAlignment="1">
      <alignment horizontal="center"/>
    </xf>
    <xf numFmtId="164" fontId="51" fillId="25" borderId="105" xfId="0" applyNumberFormat="1" applyFont="1" applyFill="1" applyBorder="1" applyAlignment="1">
      <alignment horizontal="center"/>
    </xf>
    <xf numFmtId="164" fontId="51" fillId="26" borderId="105" xfId="0" applyNumberFormat="1" applyFont="1" applyFill="1" applyBorder="1" applyAlignment="1">
      <alignment horizontal="center"/>
    </xf>
    <xf numFmtId="164" fontId="52" fillId="2" borderId="106" xfId="0" applyNumberFormat="1" applyFont="1" applyFill="1" applyBorder="1" applyAlignment="1">
      <alignment horizontal="center"/>
    </xf>
    <xf numFmtId="164" fontId="52" fillId="2" borderId="104" xfId="0" applyNumberFormat="1" applyFont="1" applyFill="1" applyBorder="1" applyAlignment="1">
      <alignment horizontal="center"/>
    </xf>
    <xf numFmtId="164" fontId="52" fillId="27" borderId="105" xfId="0" applyNumberFormat="1" applyFont="1" applyFill="1" applyBorder="1" applyAlignment="1">
      <alignment horizontal="center"/>
    </xf>
    <xf numFmtId="164" fontId="51" fillId="3" borderId="106" xfId="0" applyNumberFormat="1" applyFont="1" applyFill="1" applyBorder="1" applyAlignment="1">
      <alignment horizontal="center"/>
    </xf>
    <xf numFmtId="164" fontId="52" fillId="28" borderId="104" xfId="0" applyNumberFormat="1" applyFont="1" applyFill="1" applyBorder="1" applyAlignment="1">
      <alignment horizontal="center"/>
    </xf>
    <xf numFmtId="164" fontId="52" fillId="28" borderId="105" xfId="0" applyNumberFormat="1" applyFont="1" applyFill="1" applyBorder="1" applyAlignment="1">
      <alignment horizontal="center"/>
    </xf>
    <xf numFmtId="164" fontId="52" fillId="29" borderId="105" xfId="0" applyNumberFormat="1" applyFont="1" applyFill="1" applyBorder="1" applyAlignment="1">
      <alignment horizontal="center"/>
    </xf>
    <xf numFmtId="164" fontId="52" fillId="29" borderId="106" xfId="0" applyNumberFormat="1" applyFont="1" applyFill="1" applyBorder="1" applyAlignment="1">
      <alignment horizontal="center"/>
    </xf>
    <xf numFmtId="164" fontId="52" fillId="29" borderId="104" xfId="0" applyNumberFormat="1" applyFont="1" applyFill="1" applyBorder="1" applyAlignment="1">
      <alignment horizontal="center"/>
    </xf>
    <xf numFmtId="164" fontId="52" fillId="30" borderId="105" xfId="0" applyNumberFormat="1" applyFont="1" applyFill="1" applyBorder="1" applyAlignment="1">
      <alignment horizontal="center"/>
    </xf>
    <xf numFmtId="164" fontId="52" fillId="30" borderId="106" xfId="0" applyNumberFormat="1" applyFont="1" applyFill="1" applyBorder="1" applyAlignment="1">
      <alignment horizontal="center"/>
    </xf>
    <xf numFmtId="164" fontId="52" fillId="31" borderId="104" xfId="0" applyNumberFormat="1" applyFont="1" applyFill="1" applyBorder="1" applyAlignment="1">
      <alignment horizontal="center"/>
    </xf>
    <xf numFmtId="164" fontId="52" fillId="31" borderId="105" xfId="0" applyNumberFormat="1" applyFont="1" applyFill="1" applyBorder="1" applyAlignment="1">
      <alignment horizontal="center"/>
    </xf>
    <xf numFmtId="164" fontId="52" fillId="32" borderId="105" xfId="0" applyNumberFormat="1" applyFont="1" applyFill="1" applyBorder="1" applyAlignment="1">
      <alignment horizontal="center"/>
    </xf>
    <xf numFmtId="164" fontId="52" fillId="32" borderId="106" xfId="0" applyNumberFormat="1" applyFont="1" applyFill="1" applyBorder="1" applyAlignment="1">
      <alignment horizontal="center"/>
    </xf>
    <xf numFmtId="164" fontId="52" fillId="14" borderId="104" xfId="0" applyNumberFormat="1" applyFont="1" applyFill="1" applyBorder="1" applyAlignment="1">
      <alignment horizontal="center"/>
    </xf>
    <xf numFmtId="164" fontId="52" fillId="14" borderId="105" xfId="0" applyNumberFormat="1" applyFont="1" applyFill="1" applyBorder="1" applyAlignment="1">
      <alignment horizontal="center"/>
    </xf>
    <xf numFmtId="164" fontId="52" fillId="14" borderId="106" xfId="0" applyNumberFormat="1" applyFont="1" applyFill="1" applyBorder="1" applyAlignment="1">
      <alignment horizontal="center"/>
    </xf>
    <xf numFmtId="164" fontId="52" fillId="13" borderId="104" xfId="0" applyNumberFormat="1" applyFont="1" applyFill="1" applyBorder="1" applyAlignment="1">
      <alignment horizontal="center"/>
    </xf>
    <xf numFmtId="164" fontId="52" fillId="13" borderId="105" xfId="0" applyNumberFormat="1" applyFont="1" applyFill="1" applyBorder="1" applyAlignment="1">
      <alignment horizontal="center"/>
    </xf>
    <xf numFmtId="164" fontId="52" fillId="33" borderId="106" xfId="0" applyNumberFormat="1" applyFont="1" applyFill="1" applyBorder="1" applyAlignment="1">
      <alignment horizontal="center"/>
    </xf>
    <xf numFmtId="164" fontId="52" fillId="34" borderId="104" xfId="0" applyNumberFormat="1" applyFont="1" applyFill="1" applyBorder="1" applyAlignment="1">
      <alignment horizontal="center"/>
    </xf>
    <xf numFmtId="164" fontId="52" fillId="11" borderId="105" xfId="0" applyNumberFormat="1" applyFont="1" applyFill="1" applyBorder="1" applyAlignment="1">
      <alignment horizontal="center"/>
    </xf>
    <xf numFmtId="164" fontId="52" fillId="11" borderId="106" xfId="0" applyNumberFormat="1" applyFont="1" applyFill="1" applyBorder="1" applyAlignment="1">
      <alignment horizontal="center"/>
    </xf>
    <xf numFmtId="164" fontId="52" fillId="27" borderId="104" xfId="0" applyNumberFormat="1" applyFont="1" applyFill="1" applyBorder="1" applyAlignment="1">
      <alignment horizontal="center"/>
    </xf>
    <xf numFmtId="164" fontId="51" fillId="3" borderId="105" xfId="0" applyNumberFormat="1" applyFont="1" applyFill="1" applyBorder="1" applyAlignment="1">
      <alignment horizontal="center"/>
    </xf>
    <xf numFmtId="164" fontId="52" fillId="33" borderId="105" xfId="0" applyNumberFormat="1" applyFont="1" applyFill="1" applyBorder="1" applyAlignment="1">
      <alignment horizontal="center"/>
    </xf>
    <xf numFmtId="164" fontId="52" fillId="11" borderId="104" xfId="0" applyNumberFormat="1" applyFont="1" applyFill="1" applyBorder="1" applyAlignment="1">
      <alignment horizontal="center"/>
    </xf>
    <xf numFmtId="164" fontId="51" fillId="26" borderId="104" xfId="0" applyNumberFormat="1" applyFont="1" applyFill="1" applyBorder="1" applyAlignment="1">
      <alignment horizontal="center"/>
    </xf>
    <xf numFmtId="164" fontId="52" fillId="2" borderId="105" xfId="0" applyNumberFormat="1" applyFont="1" applyFill="1" applyBorder="1" applyAlignment="1">
      <alignment horizontal="center"/>
    </xf>
    <xf numFmtId="164" fontId="52" fillId="0" borderId="104" xfId="0" applyNumberFormat="1" applyFont="1" applyBorder="1" applyAlignment="1">
      <alignment horizontal="center"/>
    </xf>
    <xf numFmtId="164" fontId="52" fillId="0" borderId="105" xfId="0" applyNumberFormat="1" applyFont="1" applyBorder="1" applyAlignment="1">
      <alignment horizontal="center"/>
    </xf>
    <xf numFmtId="164" fontId="52" fillId="0" borderId="106" xfId="0" applyNumberFormat="1" applyFont="1" applyBorder="1" applyAlignment="1">
      <alignment horizontal="center"/>
    </xf>
    <xf numFmtId="164" fontId="52" fillId="30" borderId="104" xfId="0" applyNumberFormat="1" applyFont="1" applyFill="1" applyBorder="1" applyAlignment="1">
      <alignment horizontal="center"/>
    </xf>
    <xf numFmtId="0" fontId="4" fillId="15" borderId="6" xfId="0" applyFont="1" applyFill="1" applyBorder="1" applyAlignment="1">
      <alignment horizontal="center"/>
    </xf>
    <xf numFmtId="164" fontId="51" fillId="26" borderId="107" xfId="0" applyNumberFormat="1" applyFont="1" applyFill="1" applyBorder="1" applyAlignment="1">
      <alignment horizontal="center"/>
    </xf>
    <xf numFmtId="164" fontId="52" fillId="2" borderId="108" xfId="0" applyNumberFormat="1" applyFont="1" applyFill="1" applyBorder="1" applyAlignment="1">
      <alignment horizontal="center"/>
    </xf>
    <xf numFmtId="164" fontId="52" fillId="27" borderId="109" xfId="0" applyNumberFormat="1" applyFont="1" applyFill="1" applyBorder="1" applyAlignment="1">
      <alignment horizontal="center"/>
    </xf>
    <xf numFmtId="164" fontId="51" fillId="3" borderId="107" xfId="0" applyNumberFormat="1" applyFont="1" applyFill="1" applyBorder="1" applyAlignment="1">
      <alignment horizontal="center"/>
    </xf>
    <xf numFmtId="164" fontId="51" fillId="3" borderId="108" xfId="0" applyNumberFormat="1" applyFont="1" applyFill="1" applyBorder="1" applyAlignment="1">
      <alignment horizontal="center"/>
    </xf>
    <xf numFmtId="164" fontId="52" fillId="28" borderId="109" xfId="0" applyNumberFormat="1" applyFont="1" applyFill="1" applyBorder="1" applyAlignment="1">
      <alignment horizontal="center"/>
    </xf>
    <xf numFmtId="164" fontId="52" fillId="29" borderId="107" xfId="0" applyNumberFormat="1" applyFont="1" applyFill="1" applyBorder="1" applyAlignment="1">
      <alignment horizontal="center"/>
    </xf>
    <xf numFmtId="164" fontId="52" fillId="29" borderId="108" xfId="0" applyNumberFormat="1" applyFont="1" applyFill="1" applyBorder="1" applyAlignment="1">
      <alignment horizontal="center"/>
    </xf>
    <xf numFmtId="164" fontId="52" fillId="30" borderId="108" xfId="0" applyNumberFormat="1" applyFont="1" applyFill="1" applyBorder="1" applyAlignment="1">
      <alignment horizontal="center"/>
    </xf>
    <xf numFmtId="164" fontId="52" fillId="30" borderId="109" xfId="0" applyNumberFormat="1" applyFont="1" applyFill="1" applyBorder="1" applyAlignment="1">
      <alignment horizontal="center"/>
    </xf>
    <xf numFmtId="164" fontId="52" fillId="30" borderId="107" xfId="0" applyNumberFormat="1" applyFont="1" applyFill="1" applyBorder="1" applyAlignment="1">
      <alignment horizontal="center"/>
    </xf>
    <xf numFmtId="164" fontId="53" fillId="35" borderId="109" xfId="0" applyNumberFormat="1" applyFont="1" applyFill="1" applyBorder="1" applyAlignment="1">
      <alignment horizontal="center"/>
    </xf>
    <xf numFmtId="164" fontId="52" fillId="0" borderId="107" xfId="0" applyNumberFormat="1" applyFont="1" applyBorder="1" applyAlignment="1">
      <alignment horizontal="center"/>
    </xf>
    <xf numFmtId="164" fontId="52" fillId="0" borderId="108" xfId="0" applyNumberFormat="1" applyFont="1" applyBorder="1" applyAlignment="1">
      <alignment horizontal="center"/>
    </xf>
    <xf numFmtId="164" fontId="52" fillId="0" borderId="109" xfId="0" applyNumberFormat="1" applyFont="1" applyBorder="1" applyAlignment="1">
      <alignment horizontal="center"/>
    </xf>
    <xf numFmtId="164" fontId="51" fillId="26" borderId="101" xfId="0" applyNumberFormat="1" applyFont="1" applyFill="1" applyBorder="1" applyAlignment="1">
      <alignment horizontal="center"/>
    </xf>
    <xf numFmtId="164" fontId="52" fillId="27" borderId="103" xfId="0" applyNumberFormat="1" applyFont="1" applyFill="1" applyBorder="1" applyAlignment="1">
      <alignment horizontal="center"/>
    </xf>
    <xf numFmtId="164" fontId="52" fillId="27" borderId="101" xfId="0" applyNumberFormat="1" applyFont="1" applyFill="1" applyBorder="1" applyAlignment="1">
      <alignment horizontal="center"/>
    </xf>
    <xf numFmtId="164" fontId="51" fillId="3" borderId="102" xfId="0" applyNumberFormat="1" applyFont="1" applyFill="1" applyBorder="1" applyAlignment="1">
      <alignment horizontal="center"/>
    </xf>
    <xf numFmtId="164" fontId="53" fillId="36" borderId="101" xfId="0" applyNumberFormat="1" applyFont="1" applyFill="1" applyBorder="1" applyAlignment="1">
      <alignment horizontal="center"/>
    </xf>
    <xf numFmtId="164" fontId="53" fillId="36" borderId="102" xfId="0" applyNumberFormat="1" applyFont="1" applyFill="1" applyBorder="1" applyAlignment="1">
      <alignment horizontal="center"/>
    </xf>
    <xf numFmtId="164" fontId="53" fillId="36" borderId="103" xfId="0" applyNumberFormat="1" applyFont="1" applyFill="1" applyBorder="1" applyAlignment="1">
      <alignment horizontal="center"/>
    </xf>
    <xf numFmtId="164" fontId="52" fillId="23" borderId="101" xfId="0" applyNumberFormat="1" applyFont="1" applyFill="1" applyBorder="1" applyAlignment="1">
      <alignment horizontal="center"/>
    </xf>
    <xf numFmtId="164" fontId="52" fillId="23" borderId="102" xfId="0" applyNumberFormat="1" applyFont="1" applyFill="1" applyBorder="1" applyAlignment="1">
      <alignment horizontal="center"/>
    </xf>
    <xf numFmtId="164" fontId="52" fillId="23" borderId="103" xfId="0" applyNumberFormat="1" applyFont="1" applyFill="1" applyBorder="1" applyAlignment="1">
      <alignment horizontal="center"/>
    </xf>
    <xf numFmtId="164" fontId="52" fillId="34" borderId="103" xfId="0" applyNumberFormat="1" applyFont="1" applyFill="1" applyBorder="1" applyAlignment="1">
      <alignment horizontal="center"/>
    </xf>
    <xf numFmtId="164" fontId="52" fillId="27" borderId="106" xfId="0" applyNumberFormat="1" applyFont="1" applyFill="1" applyBorder="1" applyAlignment="1">
      <alignment horizontal="center"/>
    </xf>
    <xf numFmtId="164" fontId="51" fillId="3" borderId="104" xfId="0" applyNumberFormat="1" applyFont="1" applyFill="1" applyBorder="1" applyAlignment="1">
      <alignment horizontal="center"/>
    </xf>
    <xf numFmtId="164" fontId="52" fillId="28" borderId="106" xfId="0" applyNumberFormat="1" applyFont="1" applyFill="1" applyBorder="1" applyAlignment="1">
      <alignment horizontal="center"/>
    </xf>
    <xf numFmtId="164" fontId="53" fillId="36" borderId="104" xfId="0" applyNumberFormat="1" applyFont="1" applyFill="1" applyBorder="1" applyAlignment="1">
      <alignment horizontal="center"/>
    </xf>
    <xf numFmtId="164" fontId="53" fillId="36" borderId="105" xfId="0" applyNumberFormat="1" applyFont="1" applyFill="1" applyBorder="1" applyAlignment="1">
      <alignment horizontal="center"/>
    </xf>
    <xf numFmtId="164" fontId="53" fillId="36" borderId="106" xfId="0" applyNumberFormat="1" applyFont="1" applyFill="1" applyBorder="1" applyAlignment="1">
      <alignment horizontal="center"/>
    </xf>
    <xf numFmtId="164" fontId="52" fillId="23" borderId="104" xfId="0" applyNumberFormat="1" applyFont="1" applyFill="1" applyBorder="1" applyAlignment="1">
      <alignment horizontal="center"/>
    </xf>
    <xf numFmtId="164" fontId="52" fillId="23" borderId="105" xfId="0" applyNumberFormat="1" applyFont="1" applyFill="1" applyBorder="1" applyAlignment="1">
      <alignment horizontal="center"/>
    </xf>
    <xf numFmtId="164" fontId="52" fillId="23" borderId="106" xfId="0" applyNumberFormat="1" applyFont="1" applyFill="1" applyBorder="1" applyAlignment="1">
      <alignment horizontal="center"/>
    </xf>
    <xf numFmtId="164" fontId="52" fillId="34" borderId="105" xfId="0" applyNumberFormat="1" applyFont="1" applyFill="1" applyBorder="1" applyAlignment="1">
      <alignment horizontal="center"/>
    </xf>
    <xf numFmtId="164" fontId="52" fillId="34" borderId="106" xfId="0" applyNumberFormat="1" applyFont="1" applyFill="1" applyBorder="1" applyAlignment="1">
      <alignment horizontal="center"/>
    </xf>
    <xf numFmtId="164" fontId="52" fillId="27" borderId="107" xfId="0" applyNumberFormat="1" applyFont="1" applyFill="1" applyBorder="1" applyAlignment="1">
      <alignment horizontal="center"/>
    </xf>
    <xf numFmtId="164" fontId="52" fillId="27" borderId="108" xfId="0" applyNumberFormat="1" applyFont="1" applyFill="1" applyBorder="1" applyAlignment="1">
      <alignment horizontal="center"/>
    </xf>
    <xf numFmtId="164" fontId="51" fillId="3" borderId="109" xfId="0" applyNumberFormat="1" applyFont="1" applyFill="1" applyBorder="1" applyAlignment="1">
      <alignment horizontal="center"/>
    </xf>
    <xf numFmtId="164" fontId="52" fillId="28" borderId="108" xfId="0" applyNumberFormat="1" applyFont="1" applyFill="1" applyBorder="1" applyAlignment="1">
      <alignment horizontal="center"/>
    </xf>
    <xf numFmtId="164" fontId="52" fillId="29" borderId="109" xfId="0" applyNumberFormat="1" applyFont="1" applyFill="1" applyBorder="1" applyAlignment="1">
      <alignment horizontal="center"/>
    </xf>
    <xf numFmtId="164" fontId="51" fillId="3" borderId="101" xfId="0" applyNumberFormat="1" applyFont="1" applyFill="1" applyBorder="1" applyAlignment="1">
      <alignment horizontal="center"/>
    </xf>
    <xf numFmtId="164" fontId="52" fillId="28" borderId="103" xfId="0" applyNumberFormat="1" applyFont="1" applyFill="1" applyBorder="1" applyAlignment="1">
      <alignment horizontal="center"/>
    </xf>
    <xf numFmtId="164" fontId="52" fillId="19" borderId="101" xfId="0" applyNumberFormat="1" applyFont="1" applyFill="1" applyBorder="1" applyAlignment="1">
      <alignment horizontal="center"/>
    </xf>
    <xf numFmtId="164" fontId="52" fillId="19" borderId="102" xfId="0" applyNumberFormat="1" applyFont="1" applyFill="1" applyBorder="1" applyAlignment="1">
      <alignment horizontal="center"/>
    </xf>
    <xf numFmtId="164" fontId="52" fillId="19" borderId="103" xfId="0" applyNumberFormat="1" applyFont="1" applyFill="1" applyBorder="1" applyAlignment="1">
      <alignment horizontal="center"/>
    </xf>
    <xf numFmtId="164" fontId="52" fillId="33" borderId="101" xfId="0" applyNumberFormat="1" applyFont="1" applyFill="1" applyBorder="1" applyAlignment="1">
      <alignment horizontal="center"/>
    </xf>
    <xf numFmtId="164" fontId="52" fillId="33" borderId="102" xfId="0" applyNumberFormat="1" applyFont="1" applyFill="1" applyBorder="1" applyAlignment="1">
      <alignment horizontal="center"/>
    </xf>
    <xf numFmtId="164" fontId="52" fillId="19" borderId="104" xfId="0" applyNumberFormat="1" applyFont="1" applyFill="1" applyBorder="1" applyAlignment="1">
      <alignment horizontal="center"/>
    </xf>
    <xf numFmtId="164" fontId="52" fillId="19" borderId="105" xfId="0" applyNumberFormat="1" applyFont="1" applyFill="1" applyBorder="1" applyAlignment="1">
      <alignment horizontal="center"/>
    </xf>
    <xf numFmtId="164" fontId="52" fillId="19" borderId="106" xfId="0" applyNumberFormat="1" applyFont="1" applyFill="1" applyBorder="1" applyAlignment="1">
      <alignment horizontal="center"/>
    </xf>
    <xf numFmtId="164" fontId="52" fillId="33" borderId="104" xfId="0" applyNumberFormat="1" applyFont="1" applyFill="1" applyBorder="1" applyAlignment="1">
      <alignment horizontal="center"/>
    </xf>
    <xf numFmtId="164" fontId="52" fillId="28" borderId="107" xfId="0" applyNumberFormat="1" applyFont="1" applyFill="1" applyBorder="1" applyAlignment="1">
      <alignment horizontal="center"/>
    </xf>
    <xf numFmtId="164" fontId="52" fillId="13" borderId="103" xfId="0" applyNumberFormat="1" applyFont="1" applyFill="1" applyBorder="1" applyAlignment="1">
      <alignment horizontal="center"/>
    </xf>
    <xf numFmtId="164" fontId="52" fillId="13" borderId="106" xfId="0" applyNumberFormat="1" applyFont="1" applyFill="1" applyBorder="1" applyAlignment="1">
      <alignment horizontal="center"/>
    </xf>
    <xf numFmtId="164" fontId="51" fillId="35" borderId="103" xfId="0" applyNumberFormat="1" applyFont="1" applyFill="1" applyBorder="1" applyAlignment="1">
      <alignment horizontal="center"/>
    </xf>
    <xf numFmtId="164" fontId="52" fillId="37" borderId="102" xfId="0" applyNumberFormat="1" applyFont="1" applyFill="1" applyBorder="1" applyAlignment="1">
      <alignment horizontal="center"/>
    </xf>
    <xf numFmtId="164" fontId="52" fillId="37" borderId="103" xfId="0" applyNumberFormat="1" applyFont="1" applyFill="1" applyBorder="1" applyAlignment="1">
      <alignment horizontal="center"/>
    </xf>
    <xf numFmtId="164" fontId="51" fillId="35" borderId="105" xfId="0" applyNumberFormat="1" applyFont="1" applyFill="1" applyBorder="1" applyAlignment="1">
      <alignment horizontal="center"/>
    </xf>
    <xf numFmtId="164" fontId="51" fillId="35" borderId="106" xfId="0" applyNumberFormat="1" applyFont="1" applyFill="1" applyBorder="1" applyAlignment="1">
      <alignment horizontal="center"/>
    </xf>
    <xf numFmtId="164" fontId="52" fillId="37" borderId="105" xfId="0" applyNumberFormat="1" applyFont="1" applyFill="1" applyBorder="1" applyAlignment="1">
      <alignment horizontal="center"/>
    </xf>
    <xf numFmtId="164" fontId="52" fillId="37" borderId="106" xfId="0" applyNumberFormat="1" applyFont="1" applyFill="1" applyBorder="1" applyAlignment="1">
      <alignment horizontal="center"/>
    </xf>
    <xf numFmtId="164" fontId="51" fillId="35" borderId="107" xfId="0" applyNumberFormat="1" applyFont="1" applyFill="1" applyBorder="1" applyAlignment="1">
      <alignment horizontal="center"/>
    </xf>
    <xf numFmtId="164" fontId="51" fillId="35" borderId="108" xfId="0" applyNumberFormat="1" applyFont="1" applyFill="1" applyBorder="1" applyAlignment="1">
      <alignment horizontal="center"/>
    </xf>
    <xf numFmtId="164" fontId="51" fillId="29" borderId="109" xfId="0" applyNumberFormat="1" applyFont="1" applyFill="1" applyBorder="1" applyAlignment="1">
      <alignment horizontal="center"/>
    </xf>
    <xf numFmtId="164" fontId="53" fillId="36" borderId="110" xfId="0" applyNumberFormat="1" applyFont="1" applyFill="1" applyBorder="1" applyAlignment="1">
      <alignment horizontal="center"/>
    </xf>
    <xf numFmtId="0" fontId="56" fillId="0" borderId="0" xfId="0" applyFont="1" applyAlignment="1">
      <alignment horizontal="center"/>
    </xf>
    <xf numFmtId="164" fontId="51" fillId="0" borderId="104" xfId="0" applyNumberFormat="1" applyFont="1" applyFill="1" applyBorder="1" applyAlignment="1">
      <alignment horizontal="center"/>
    </xf>
    <xf numFmtId="164" fontId="51" fillId="0" borderId="105" xfId="0" applyNumberFormat="1" applyFont="1" applyFill="1" applyBorder="1" applyAlignment="1">
      <alignment horizontal="center"/>
    </xf>
    <xf numFmtId="164" fontId="52" fillId="0" borderId="106" xfId="0" applyNumberFormat="1" applyFont="1" applyFill="1" applyBorder="1" applyAlignment="1">
      <alignment horizontal="center"/>
    </xf>
    <xf numFmtId="164" fontId="52" fillId="0" borderId="105" xfId="0" applyNumberFormat="1" applyFont="1" applyFill="1" applyBorder="1" applyAlignment="1">
      <alignment horizontal="center"/>
    </xf>
    <xf numFmtId="164" fontId="51" fillId="0" borderId="107" xfId="0" applyNumberFormat="1" applyFont="1" applyFill="1" applyBorder="1" applyAlignment="1">
      <alignment horizontal="center"/>
    </xf>
    <xf numFmtId="164" fontId="52" fillId="0" borderId="108" xfId="0" applyNumberFormat="1" applyFont="1" applyFill="1" applyBorder="1" applyAlignment="1">
      <alignment horizontal="center"/>
    </xf>
    <xf numFmtId="164" fontId="52" fillId="0" borderId="109" xfId="0" applyNumberFormat="1" applyFont="1" applyFill="1" applyBorder="1" applyAlignment="1">
      <alignment horizontal="center"/>
    </xf>
    <xf numFmtId="0" fontId="5" fillId="4" borderId="10" xfId="0" applyFont="1" applyFill="1" applyBorder="1" applyAlignment="1">
      <alignment horizontal="center"/>
    </xf>
    <xf numFmtId="0" fontId="2" fillId="26" borderId="0" xfId="0" applyFont="1" applyFill="1" applyAlignment="1">
      <alignment horizontal="center"/>
    </xf>
    <xf numFmtId="0" fontId="2" fillId="26" borderId="0" xfId="0" applyFont="1" applyFill="1" applyAlignment="1">
      <alignment horizontal="center"/>
    </xf>
    <xf numFmtId="0" fontId="4" fillId="26" borderId="0" xfId="0" applyFont="1" applyFill="1" applyAlignment="1">
      <alignment horizontal="center"/>
    </xf>
    <xf numFmtId="0" fontId="4" fillId="0" borderId="0" xfId="0" applyFont="1" applyAlignment="1">
      <alignment horizontal="left"/>
    </xf>
    <xf numFmtId="0" fontId="0" fillId="0" borderId="0" xfId="0" applyAlignment="1">
      <alignment horizontal="center"/>
    </xf>
    <xf numFmtId="164" fontId="51" fillId="3" borderId="112" xfId="0" applyNumberFormat="1" applyFont="1" applyFill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5" fillId="37" borderId="10" xfId="0" applyFont="1" applyFill="1" applyBorder="1" applyAlignment="1">
      <alignment horizontal="center"/>
    </xf>
    <xf numFmtId="164" fontId="53" fillId="25" borderId="103" xfId="0" applyNumberFormat="1" applyFont="1" applyFill="1" applyBorder="1" applyAlignment="1">
      <alignment horizontal="center"/>
    </xf>
    <xf numFmtId="164" fontId="53" fillId="25" borderId="106" xfId="0" applyNumberFormat="1" applyFont="1" applyFill="1" applyBorder="1" applyAlignment="1">
      <alignment horizontal="center"/>
    </xf>
    <xf numFmtId="164" fontId="53" fillId="25" borderId="109" xfId="0" applyNumberFormat="1" applyFont="1" applyFill="1" applyBorder="1" applyAlignment="1">
      <alignment horizontal="center"/>
    </xf>
    <xf numFmtId="164" fontId="53" fillId="25" borderId="105" xfId="0" applyNumberFormat="1" applyFont="1" applyFill="1" applyBorder="1" applyAlignment="1">
      <alignment horizontal="center"/>
    </xf>
    <xf numFmtId="164" fontId="53" fillId="25" borderId="107" xfId="0" applyNumberFormat="1" applyFont="1" applyFill="1" applyBorder="1" applyAlignment="1">
      <alignment horizontal="center"/>
    </xf>
    <xf numFmtId="164" fontId="53" fillId="25" borderId="108" xfId="0" applyNumberFormat="1" applyFont="1" applyFill="1" applyBorder="1" applyAlignment="1">
      <alignment horizontal="center"/>
    </xf>
    <xf numFmtId="164" fontId="58" fillId="34" borderId="102" xfId="0" applyNumberFormat="1" applyFont="1" applyFill="1" applyBorder="1" applyAlignment="1">
      <alignment horizontal="center"/>
    </xf>
    <xf numFmtId="164" fontId="53" fillId="12" borderId="101" xfId="0" applyNumberFormat="1" applyFont="1" applyFill="1" applyBorder="1" applyAlignment="1">
      <alignment horizontal="center"/>
    </xf>
    <xf numFmtId="164" fontId="53" fillId="12" borderId="102" xfId="0" applyNumberFormat="1" applyFont="1" applyFill="1" applyBorder="1" applyAlignment="1">
      <alignment horizontal="center"/>
    </xf>
    <xf numFmtId="164" fontId="53" fillId="12" borderId="104" xfId="0" applyNumberFormat="1" applyFont="1" applyFill="1" applyBorder="1" applyAlignment="1">
      <alignment horizontal="center"/>
    </xf>
    <xf numFmtId="164" fontId="58" fillId="34" borderId="105" xfId="0" applyNumberFormat="1" applyFont="1" applyFill="1" applyBorder="1" applyAlignment="1">
      <alignment horizontal="center"/>
    </xf>
    <xf numFmtId="164" fontId="58" fillId="34" borderId="104" xfId="0" applyNumberFormat="1" applyFont="1" applyFill="1" applyBorder="1" applyAlignment="1">
      <alignment horizontal="center"/>
    </xf>
    <xf numFmtId="164" fontId="51" fillId="26" borderId="102" xfId="0" applyNumberFormat="1" applyFont="1" applyFill="1" applyBorder="1" applyAlignment="1">
      <alignment horizontal="center"/>
    </xf>
    <xf numFmtId="164" fontId="51" fillId="26" borderId="103" xfId="0" applyNumberFormat="1" applyFont="1" applyFill="1" applyBorder="1" applyAlignment="1">
      <alignment horizontal="center"/>
    </xf>
    <xf numFmtId="164" fontId="52" fillId="2" borderId="107" xfId="0" applyNumberFormat="1" applyFont="1" applyFill="1" applyBorder="1" applyAlignment="1">
      <alignment horizontal="center"/>
    </xf>
    <xf numFmtId="164" fontId="52" fillId="2" borderId="103" xfId="0" applyNumberFormat="1" applyFont="1" applyFill="1" applyBorder="1" applyAlignment="1">
      <alignment horizontal="center"/>
    </xf>
    <xf numFmtId="164" fontId="53" fillId="35" borderId="106" xfId="0" applyNumberFormat="1" applyFont="1" applyFill="1" applyBorder="1" applyAlignment="1">
      <alignment horizontal="center"/>
    </xf>
    <xf numFmtId="164" fontId="52" fillId="32" borderId="113" xfId="0" applyNumberFormat="1" applyFont="1" applyFill="1" applyBorder="1" applyAlignment="1">
      <alignment horizontal="center"/>
    </xf>
    <xf numFmtId="164" fontId="52" fillId="32" borderId="104" xfId="0" applyNumberFormat="1" applyFont="1" applyFill="1" applyBorder="1" applyAlignment="1">
      <alignment horizontal="center"/>
    </xf>
    <xf numFmtId="164" fontId="54" fillId="42" borderId="102" xfId="0" applyNumberFormat="1" applyFont="1" applyFill="1" applyBorder="1" applyAlignment="1">
      <alignment horizontal="center"/>
    </xf>
    <xf numFmtId="164" fontId="54" fillId="42" borderId="114" xfId="0" applyNumberFormat="1" applyFont="1" applyFill="1" applyBorder="1" applyAlignment="1">
      <alignment horizontal="center"/>
    </xf>
    <xf numFmtId="164" fontId="54" fillId="42" borderId="105" xfId="0" applyNumberFormat="1" applyFont="1" applyFill="1" applyBorder="1" applyAlignment="1">
      <alignment horizontal="center"/>
    </xf>
    <xf numFmtId="164" fontId="54" fillId="42" borderId="104" xfId="0" applyNumberFormat="1" applyFont="1" applyFill="1" applyBorder="1" applyAlignment="1">
      <alignment horizontal="center"/>
    </xf>
    <xf numFmtId="164" fontId="54" fillId="42" borderId="103" xfId="0" applyNumberFormat="1" applyFont="1" applyFill="1" applyBorder="1" applyAlignment="1">
      <alignment horizontal="center"/>
    </xf>
    <xf numFmtId="164" fontId="54" fillId="42" borderId="106" xfId="0" applyNumberFormat="1" applyFont="1" applyFill="1" applyBorder="1" applyAlignment="1">
      <alignment horizontal="center"/>
    </xf>
    <xf numFmtId="164" fontId="52" fillId="37" borderId="101" xfId="0" applyNumberFormat="1" applyFont="1" applyFill="1" applyBorder="1" applyAlignment="1">
      <alignment horizontal="center"/>
    </xf>
    <xf numFmtId="164" fontId="52" fillId="37" borderId="104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/>
    <xf numFmtId="0" fontId="2" fillId="0" borderId="0" xfId="0" applyFont="1" applyAlignment="1">
      <alignment horizontal="right"/>
    </xf>
    <xf numFmtId="2" fontId="4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4" fillId="0" borderId="101" xfId="0" applyFont="1" applyBorder="1" applyAlignment="1">
      <alignment horizontal="center"/>
    </xf>
    <xf numFmtId="0" fontId="4" fillId="0" borderId="102" xfId="0" applyFont="1" applyBorder="1" applyAlignment="1">
      <alignment horizontal="center"/>
    </xf>
    <xf numFmtId="0" fontId="4" fillId="0" borderId="104" xfId="0" applyFont="1" applyBorder="1" applyAlignment="1">
      <alignment horizontal="center"/>
    </xf>
    <xf numFmtId="0" fontId="4" fillId="0" borderId="116" xfId="0" applyFont="1" applyBorder="1" applyAlignment="1">
      <alignment horizontal="center"/>
    </xf>
    <xf numFmtId="0" fontId="4" fillId="0" borderId="105" xfId="0" applyFont="1" applyBorder="1" applyAlignment="1">
      <alignment horizontal="center"/>
    </xf>
    <xf numFmtId="0" fontId="4" fillId="0" borderId="107" xfId="0" applyFont="1" applyBorder="1" applyAlignment="1">
      <alignment horizontal="center"/>
    </xf>
    <xf numFmtId="0" fontId="4" fillId="0" borderId="117" xfId="0" applyFont="1" applyBorder="1" applyAlignment="1">
      <alignment horizontal="center"/>
    </xf>
    <xf numFmtId="0" fontId="4" fillId="0" borderId="108" xfId="0" applyFont="1" applyBorder="1" applyAlignment="1">
      <alignment horizontal="center"/>
    </xf>
    <xf numFmtId="0" fontId="4" fillId="0" borderId="118" xfId="0" applyFont="1" applyBorder="1" applyAlignment="1">
      <alignment horizontal="center"/>
    </xf>
    <xf numFmtId="0" fontId="4" fillId="0" borderId="106" xfId="0" applyFont="1" applyBorder="1" applyAlignment="1">
      <alignment horizontal="center"/>
    </xf>
    <xf numFmtId="0" fontId="4" fillId="0" borderId="109" xfId="0" applyFont="1" applyBorder="1" applyAlignment="1">
      <alignment horizontal="center"/>
    </xf>
    <xf numFmtId="0" fontId="1" fillId="17" borderId="0" xfId="0" applyFont="1" applyFill="1" applyAlignment="1">
      <alignment horizontal="center"/>
    </xf>
    <xf numFmtId="0" fontId="0" fillId="0" borderId="0" xfId="0" applyAlignment="1">
      <alignment horizontal="left" indent="6"/>
    </xf>
    <xf numFmtId="0" fontId="4" fillId="0" borderId="119" xfId="0" applyFont="1" applyBorder="1" applyAlignment="1">
      <alignment horizontal="center"/>
    </xf>
    <xf numFmtId="0" fontId="4" fillId="0" borderId="120" xfId="0" applyFont="1" applyBorder="1" applyAlignment="1">
      <alignment horizontal="center"/>
    </xf>
    <xf numFmtId="0" fontId="4" fillId="0" borderId="121" xfId="0" applyFont="1" applyBorder="1" applyAlignment="1">
      <alignment horizontal="center"/>
    </xf>
    <xf numFmtId="0" fontId="0" fillId="2" borderId="36" xfId="0" applyFill="1" applyBorder="1" applyAlignment="1">
      <alignment horizontal="center" vertical="center"/>
    </xf>
    <xf numFmtId="0" fontId="0" fillId="2" borderId="37" xfId="0" applyFill="1" applyBorder="1" applyAlignment="1">
      <alignment horizontal="center" vertical="center"/>
    </xf>
    <xf numFmtId="0" fontId="0" fillId="2" borderId="38" xfId="0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8" fillId="0" borderId="0" xfId="0" applyFont="1" applyBorder="1" applyAlignment="1" applyProtection="1">
      <alignment horizontal="center"/>
    </xf>
    <xf numFmtId="0" fontId="5" fillId="43" borderId="10" xfId="0" applyFont="1" applyFill="1" applyBorder="1" applyAlignment="1">
      <alignment horizontal="center"/>
    </xf>
    <xf numFmtId="165" fontId="24" fillId="0" borderId="80" xfId="0" applyNumberFormat="1" applyFont="1" applyFill="1" applyBorder="1" applyAlignment="1" applyProtection="1">
      <alignment horizontal="center" vertical="center"/>
      <protection locked="0"/>
    </xf>
    <xf numFmtId="0" fontId="11" fillId="0" borderId="80" xfId="0" applyFont="1" applyFill="1" applyBorder="1" applyAlignment="1" applyProtection="1">
      <alignment horizontal="center"/>
      <protection locked="0"/>
    </xf>
    <xf numFmtId="165" fontId="10" fillId="44" borderId="80" xfId="0" applyNumberFormat="1" applyFont="1" applyFill="1" applyBorder="1" applyAlignment="1" applyProtection="1">
      <alignment horizontal="center"/>
    </xf>
    <xf numFmtId="165" fontId="60" fillId="44" borderId="0" xfId="0" applyNumberFormat="1" applyFont="1" applyFill="1" applyBorder="1" applyAlignment="1" applyProtection="1">
      <alignment horizontal="center" vertical="center"/>
    </xf>
    <xf numFmtId="165" fontId="32" fillId="44" borderId="0" xfId="0" applyNumberFormat="1" applyFont="1" applyFill="1" applyBorder="1" applyAlignment="1" applyProtection="1">
      <alignment horizontal="center" vertical="center"/>
    </xf>
    <xf numFmtId="0" fontId="10" fillId="0" borderId="80" xfId="0" applyFont="1" applyFill="1" applyBorder="1" applyAlignment="1" applyProtection="1">
      <alignment horizontal="center"/>
      <protection locked="0"/>
    </xf>
    <xf numFmtId="165" fontId="10" fillId="44" borderId="86" xfId="0" applyNumberFormat="1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0" fillId="44" borderId="129" xfId="0" applyFill="1" applyBorder="1" applyProtection="1"/>
    <xf numFmtId="0" fontId="48" fillId="44" borderId="0" xfId="0" applyFont="1" applyFill="1" applyBorder="1" applyProtection="1"/>
    <xf numFmtId="0" fontId="7" fillId="44" borderId="0" xfId="0" applyFont="1" applyFill="1" applyBorder="1" applyProtection="1"/>
    <xf numFmtId="0" fontId="0" fillId="44" borderId="0" xfId="0" applyFill="1" applyBorder="1" applyProtection="1"/>
    <xf numFmtId="0" fontId="0" fillId="44" borderId="128" xfId="0" applyFill="1" applyBorder="1" applyProtection="1"/>
    <xf numFmtId="0" fontId="45" fillId="44" borderId="90" xfId="0" applyFont="1" applyFill="1" applyBorder="1" applyAlignment="1" applyProtection="1"/>
    <xf numFmtId="0" fontId="0" fillId="44" borderId="130" xfId="0" applyFill="1" applyBorder="1" applyProtection="1"/>
    <xf numFmtId="0" fontId="0" fillId="44" borderId="131" xfId="0" applyFill="1" applyBorder="1" applyProtection="1"/>
    <xf numFmtId="0" fontId="0" fillId="44" borderId="133" xfId="0" applyFill="1" applyBorder="1" applyProtection="1"/>
    <xf numFmtId="0" fontId="0" fillId="44" borderId="135" xfId="0" applyFill="1" applyBorder="1" applyProtection="1"/>
    <xf numFmtId="0" fontId="48" fillId="44" borderId="136" xfId="0" applyFont="1" applyFill="1" applyBorder="1" applyProtection="1"/>
    <xf numFmtId="0" fontId="0" fillId="44" borderId="136" xfId="0" applyFill="1" applyBorder="1" applyProtection="1"/>
    <xf numFmtId="0" fontId="0" fillId="44" borderId="137" xfId="0" applyFill="1" applyBorder="1" applyProtection="1"/>
    <xf numFmtId="0" fontId="4" fillId="44" borderId="0" xfId="0" applyFont="1" applyFill="1" applyBorder="1" applyProtection="1"/>
    <xf numFmtId="0" fontId="27" fillId="44" borderId="0" xfId="0" applyFont="1" applyFill="1" applyBorder="1" applyProtection="1"/>
    <xf numFmtId="0" fontId="27" fillId="44" borderId="128" xfId="0" applyFont="1" applyFill="1" applyBorder="1" applyProtection="1"/>
    <xf numFmtId="0" fontId="27" fillId="44" borderId="129" xfId="0" applyFont="1" applyFill="1" applyBorder="1" applyProtection="1"/>
    <xf numFmtId="0" fontId="10" fillId="44" borderId="131" xfId="0" applyFont="1" applyFill="1" applyBorder="1" applyAlignment="1" applyProtection="1">
      <alignment horizontal="center"/>
    </xf>
    <xf numFmtId="0" fontId="27" fillId="44" borderId="131" xfId="0" applyFont="1" applyFill="1" applyBorder="1" applyProtection="1"/>
    <xf numFmtId="0" fontId="4" fillId="44" borderId="131" xfId="0" applyFont="1" applyFill="1" applyBorder="1" applyAlignment="1" applyProtection="1">
      <alignment horizontal="center" vertical="center"/>
    </xf>
    <xf numFmtId="0" fontId="27" fillId="44" borderId="133" xfId="0" applyFont="1" applyFill="1" applyBorder="1" applyProtection="1"/>
    <xf numFmtId="0" fontId="27" fillId="44" borderId="130" xfId="0" applyFont="1" applyFill="1" applyBorder="1" applyProtection="1"/>
    <xf numFmtId="0" fontId="11" fillId="44" borderId="131" xfId="0" applyFont="1" applyFill="1" applyBorder="1" applyAlignment="1" applyProtection="1">
      <alignment horizontal="center"/>
    </xf>
    <xf numFmtId="0" fontId="27" fillId="0" borderId="0" xfId="0" applyFont="1" applyProtection="1"/>
    <xf numFmtId="0" fontId="48" fillId="44" borderId="0" xfId="0" applyFont="1" applyFill="1" applyBorder="1" applyAlignment="1" applyProtection="1">
      <alignment horizontal="center" vertical="center"/>
    </xf>
    <xf numFmtId="0" fontId="13" fillId="44" borderId="0" xfId="0" applyFont="1" applyFill="1" applyBorder="1" applyAlignment="1" applyProtection="1">
      <alignment wrapText="1"/>
    </xf>
    <xf numFmtId="0" fontId="48" fillId="44" borderId="0" xfId="0" applyFont="1" applyFill="1" applyBorder="1" applyAlignment="1" applyProtection="1">
      <alignment horizontal="left" vertical="center"/>
    </xf>
    <xf numFmtId="0" fontId="0" fillId="44" borderId="0" xfId="0" applyFill="1" applyBorder="1" applyAlignment="1" applyProtection="1">
      <alignment textRotation="90"/>
    </xf>
    <xf numFmtId="0" fontId="0" fillId="44" borderId="0" xfId="0" applyFill="1" applyBorder="1" applyAlignment="1" applyProtection="1"/>
    <xf numFmtId="0" fontId="0" fillId="44" borderId="0" xfId="0" applyFill="1" applyBorder="1" applyAlignment="1" applyProtection="1">
      <alignment horizontal="center" textRotation="90"/>
    </xf>
    <xf numFmtId="0" fontId="27" fillId="44" borderId="0" xfId="0" applyFont="1" applyFill="1" applyBorder="1" applyAlignment="1" applyProtection="1">
      <alignment textRotation="90"/>
    </xf>
    <xf numFmtId="0" fontId="27" fillId="44" borderId="0" xfId="0" applyFont="1" applyFill="1" applyBorder="1" applyAlignment="1" applyProtection="1">
      <alignment horizontal="center" textRotation="90"/>
    </xf>
    <xf numFmtId="0" fontId="48" fillId="44" borderId="0" xfId="0" applyFont="1" applyFill="1" applyBorder="1" applyAlignment="1" applyProtection="1">
      <alignment horizontal="center"/>
    </xf>
    <xf numFmtId="0" fontId="48" fillId="44" borderId="0" xfId="0" applyFont="1" applyFill="1" applyBorder="1" applyAlignment="1" applyProtection="1">
      <alignment horizontal="center" vertical="top"/>
    </xf>
    <xf numFmtId="0" fontId="10" fillId="0" borderId="0" xfId="0" applyFont="1" applyProtection="1"/>
    <xf numFmtId="0" fontId="10" fillId="44" borderId="129" xfId="0" applyFont="1" applyFill="1" applyBorder="1" applyProtection="1"/>
    <xf numFmtId="0" fontId="10" fillId="44" borderId="0" xfId="0" applyFont="1" applyFill="1" applyBorder="1" applyProtection="1"/>
    <xf numFmtId="0" fontId="10" fillId="44" borderId="128" xfId="0" applyFont="1" applyFill="1" applyBorder="1" applyProtection="1"/>
    <xf numFmtId="0" fontId="48" fillId="44" borderId="0" xfId="0" applyFont="1" applyFill="1" applyBorder="1" applyAlignment="1" applyProtection="1">
      <alignment horizontal="right" vertical="center"/>
    </xf>
    <xf numFmtId="0" fontId="0" fillId="44" borderId="131" xfId="0" applyFill="1" applyBorder="1" applyAlignment="1" applyProtection="1">
      <alignment textRotation="90"/>
    </xf>
    <xf numFmtId="0" fontId="0" fillId="44" borderId="131" xfId="0" applyFill="1" applyBorder="1" applyAlignment="1" applyProtection="1">
      <alignment horizontal="center" textRotation="90"/>
    </xf>
    <xf numFmtId="0" fontId="27" fillId="0" borderId="0" xfId="0" applyFont="1" applyAlignment="1" applyProtection="1">
      <alignment textRotation="90"/>
    </xf>
    <xf numFmtId="0" fontId="27" fillId="0" borderId="0" xfId="0" applyFont="1" applyAlignment="1" applyProtection="1">
      <alignment horizontal="center" textRotation="90"/>
    </xf>
    <xf numFmtId="0" fontId="27" fillId="44" borderId="131" xfId="0" applyFont="1" applyFill="1" applyBorder="1" applyAlignment="1" applyProtection="1">
      <alignment horizontal="center"/>
    </xf>
    <xf numFmtId="0" fontId="59" fillId="44" borderId="139" xfId="0" applyFont="1" applyFill="1" applyBorder="1" applyAlignment="1" applyProtection="1">
      <alignment horizontal="left"/>
    </xf>
    <xf numFmtId="0" fontId="10" fillId="44" borderId="0" xfId="0" applyFont="1" applyFill="1" applyBorder="1" applyAlignment="1" applyProtection="1">
      <alignment horizontal="center"/>
    </xf>
    <xf numFmtId="0" fontId="0" fillId="40" borderId="0" xfId="0" applyFill="1" applyBorder="1" applyProtection="1"/>
    <xf numFmtId="0" fontId="0" fillId="44" borderId="111" xfId="0" applyFill="1" applyBorder="1" applyProtection="1"/>
    <xf numFmtId="0" fontId="2" fillId="44" borderId="0" xfId="0" applyFont="1" applyFill="1" applyBorder="1" applyAlignment="1" applyProtection="1">
      <alignment horizontal="left" indent="4"/>
    </xf>
    <xf numFmtId="0" fontId="30" fillId="44" borderId="0" xfId="0" applyFont="1" applyFill="1" applyBorder="1" applyAlignment="1" applyProtection="1">
      <alignment horizontal="center" vertical="center" wrapText="1"/>
    </xf>
    <xf numFmtId="0" fontId="0" fillId="44" borderId="68" xfId="0" applyFill="1" applyBorder="1" applyProtection="1"/>
    <xf numFmtId="0" fontId="57" fillId="44" borderId="0" xfId="0" applyFont="1" applyFill="1" applyBorder="1" applyProtection="1"/>
    <xf numFmtId="0" fontId="0" fillId="0" borderId="75" xfId="0" applyBorder="1" applyProtection="1"/>
    <xf numFmtId="0" fontId="0" fillId="0" borderId="115" xfId="0" applyBorder="1" applyProtection="1"/>
    <xf numFmtId="0" fontId="0" fillId="0" borderId="76" xfId="0" applyBorder="1" applyProtection="1"/>
    <xf numFmtId="0" fontId="0" fillId="41" borderId="0" xfId="0" applyFill="1" applyBorder="1" applyProtection="1"/>
    <xf numFmtId="0" fontId="27" fillId="40" borderId="0" xfId="0" applyFont="1" applyFill="1" applyBorder="1" applyProtection="1"/>
    <xf numFmtId="0" fontId="27" fillId="41" borderId="0" xfId="0" applyFont="1" applyFill="1" applyBorder="1" applyProtection="1"/>
    <xf numFmtId="0" fontId="0" fillId="44" borderId="0" xfId="0" applyFill="1" applyBorder="1" applyAlignment="1" applyProtection="1">
      <alignment horizontal="center"/>
    </xf>
    <xf numFmtId="2" fontId="24" fillId="0" borderId="88" xfId="0" applyNumberFormat="1" applyFont="1" applyBorder="1" applyAlignment="1" applyProtection="1">
      <alignment vertical="center"/>
    </xf>
    <xf numFmtId="2" fontId="24" fillId="0" borderId="96" xfId="0" applyNumberFormat="1" applyFont="1" applyBorder="1" applyAlignment="1" applyProtection="1">
      <alignment vertical="center"/>
    </xf>
    <xf numFmtId="0" fontId="4" fillId="0" borderId="0" xfId="0" applyFont="1" applyProtection="1"/>
    <xf numFmtId="0" fontId="11" fillId="0" borderId="80" xfId="0" applyFont="1" applyBorder="1" applyAlignment="1" applyProtection="1">
      <alignment horizontal="center"/>
    </xf>
    <xf numFmtId="0" fontId="0" fillId="0" borderId="0" xfId="0" applyAlignment="1" applyProtection="1">
      <alignment horizontal="right"/>
    </xf>
    <xf numFmtId="0" fontId="48" fillId="0" borderId="0" xfId="0" applyFont="1" applyAlignment="1" applyProtection="1">
      <alignment horizontal="right"/>
    </xf>
    <xf numFmtId="2" fontId="24" fillId="0" borderId="80" xfId="0" applyNumberFormat="1" applyFont="1" applyBorder="1" applyAlignment="1" applyProtection="1">
      <alignment horizontal="center"/>
    </xf>
    <xf numFmtId="2" fontId="24" fillId="0" borderId="90" xfId="0" applyNumberFormat="1" applyFont="1" applyBorder="1" applyAlignment="1" applyProtection="1"/>
    <xf numFmtId="2" fontId="38" fillId="0" borderId="0" xfId="0" applyNumberFormat="1" applyFont="1" applyBorder="1" applyAlignment="1" applyProtection="1"/>
    <xf numFmtId="2" fontId="24" fillId="0" borderId="90" xfId="0" applyNumberFormat="1" applyFont="1" applyFill="1" applyBorder="1" applyAlignment="1" applyProtection="1"/>
    <xf numFmtId="0" fontId="0" fillId="0" borderId="90" xfId="0" applyFill="1" applyBorder="1" applyProtection="1"/>
    <xf numFmtId="0" fontId="45" fillId="0" borderId="0" xfId="0" applyFont="1" applyBorder="1" applyAlignment="1" applyProtection="1">
      <alignment horizontal="center" vertical="top" wrapText="1"/>
    </xf>
    <xf numFmtId="0" fontId="45" fillId="0" borderId="0" xfId="0" applyFont="1" applyBorder="1" applyAlignment="1" applyProtection="1">
      <alignment wrapText="1"/>
    </xf>
    <xf numFmtId="2" fontId="24" fillId="18" borderId="80" xfId="0" applyNumberFormat="1" applyFont="1" applyFill="1" applyBorder="1" applyAlignment="1" applyProtection="1">
      <alignment horizontal="center"/>
    </xf>
    <xf numFmtId="2" fontId="38" fillId="0" borderId="0" xfId="0" applyNumberFormat="1" applyFont="1" applyFill="1" applyBorder="1" applyAlignment="1" applyProtection="1"/>
    <xf numFmtId="0" fontId="8" fillId="0" borderId="0" xfId="0" applyFont="1" applyAlignment="1" applyProtection="1">
      <alignment horizontal="right"/>
    </xf>
    <xf numFmtId="49" fontId="2" fillId="0" borderId="0" xfId="0" applyNumberFormat="1" applyFont="1" applyBorder="1" applyAlignment="1" applyProtection="1">
      <alignment horizontal="right"/>
    </xf>
    <xf numFmtId="0" fontId="48" fillId="0" borderId="87" xfId="0" applyFont="1" applyBorder="1" applyAlignment="1" applyProtection="1">
      <alignment horizontal="right"/>
    </xf>
    <xf numFmtId="0" fontId="0" fillId="0" borderId="88" xfId="0" applyBorder="1" applyProtection="1"/>
    <xf numFmtId="0" fontId="48" fillId="0" borderId="90" xfId="0" applyFont="1" applyBorder="1" applyAlignment="1" applyProtection="1">
      <alignment horizontal="right"/>
    </xf>
    <xf numFmtId="0" fontId="48" fillId="0" borderId="95" xfId="0" applyFont="1" applyBorder="1" applyAlignment="1" applyProtection="1">
      <alignment horizontal="right"/>
    </xf>
    <xf numFmtId="0" fontId="0" fillId="0" borderId="96" xfId="0" applyBorder="1" applyProtection="1"/>
    <xf numFmtId="0" fontId="0" fillId="0" borderId="71" xfId="0" applyBorder="1" applyProtection="1"/>
    <xf numFmtId="10" fontId="38" fillId="18" borderId="80" xfId="2" applyNumberFormat="1" applyFont="1" applyFill="1" applyBorder="1" applyAlignment="1" applyProtection="1">
      <alignment horizontal="center"/>
    </xf>
    <xf numFmtId="0" fontId="0" fillId="0" borderId="69" xfId="0" applyBorder="1" applyProtection="1"/>
    <xf numFmtId="169" fontId="31" fillId="0" borderId="84" xfId="0" applyNumberFormat="1" applyFont="1" applyBorder="1" applyAlignment="1" applyProtection="1">
      <alignment horizontal="center"/>
    </xf>
    <xf numFmtId="169" fontId="31" fillId="0" borderId="85" xfId="0" applyNumberFormat="1" applyFont="1" applyBorder="1" applyAlignment="1" applyProtection="1">
      <alignment horizontal="center"/>
    </xf>
    <xf numFmtId="0" fontId="4" fillId="0" borderId="0" xfId="0" applyFont="1" applyAlignment="1" applyProtection="1">
      <alignment vertical="top"/>
    </xf>
    <xf numFmtId="0" fontId="7" fillId="0" borderId="0" xfId="0" applyFont="1" applyProtection="1"/>
    <xf numFmtId="0" fontId="10" fillId="11" borderId="80" xfId="0" applyFont="1" applyFill="1" applyBorder="1" applyAlignment="1" applyProtection="1">
      <alignment horizontal="center"/>
    </xf>
    <xf numFmtId="14" fontId="11" fillId="0" borderId="80" xfId="0" applyNumberFormat="1" applyFont="1" applyBorder="1" applyAlignment="1" applyProtection="1">
      <alignment horizontal="center"/>
    </xf>
    <xf numFmtId="0" fontId="27" fillId="0" borderId="0" xfId="0" applyFont="1" applyBorder="1" applyProtection="1"/>
    <xf numFmtId="0" fontId="10" fillId="0" borderId="80" xfId="0" applyFont="1" applyBorder="1" applyAlignment="1" applyProtection="1">
      <alignment horizontal="center"/>
    </xf>
    <xf numFmtId="0" fontId="48" fillId="0" borderId="0" xfId="0" applyFont="1" applyAlignment="1" applyProtection="1">
      <alignment horizontal="center"/>
    </xf>
    <xf numFmtId="165" fontId="11" fillId="11" borderId="80" xfId="0" applyNumberFormat="1" applyFont="1" applyFill="1" applyBorder="1" applyAlignment="1" applyProtection="1">
      <alignment horizontal="center"/>
    </xf>
    <xf numFmtId="9" fontId="11" fillId="11" borderId="80" xfId="2" applyFont="1" applyFill="1" applyBorder="1" applyAlignment="1" applyProtection="1">
      <alignment horizontal="center"/>
    </xf>
    <xf numFmtId="0" fontId="4" fillId="0" borderId="90" xfId="0" applyFont="1" applyBorder="1" applyAlignment="1" applyProtection="1">
      <alignment vertical="top" wrapText="1"/>
    </xf>
    <xf numFmtId="2" fontId="11" fillId="11" borderId="80" xfId="0" applyNumberFormat="1" applyFont="1" applyFill="1" applyBorder="1" applyAlignment="1" applyProtection="1">
      <alignment horizontal="center"/>
    </xf>
    <xf numFmtId="2" fontId="11" fillId="15" borderId="30" xfId="0" applyNumberFormat="1" applyFont="1" applyFill="1" applyBorder="1" applyAlignment="1" applyProtection="1">
      <alignment horizontal="center" vertical="center"/>
    </xf>
    <xf numFmtId="0" fontId="4" fillId="0" borderId="71" xfId="0" applyFont="1" applyFill="1" applyBorder="1" applyAlignment="1" applyProtection="1">
      <alignment horizontal="center" vertical="center"/>
    </xf>
    <xf numFmtId="0" fontId="20" fillId="0" borderId="0" xfId="0" applyFont="1" applyBorder="1" applyAlignment="1" applyProtection="1">
      <alignment horizontal="left" vertical="center" wrapText="1" indent="1"/>
    </xf>
    <xf numFmtId="0" fontId="29" fillId="0" borderId="0" xfId="0" applyFont="1" applyAlignment="1" applyProtection="1">
      <alignment horizontal="right"/>
    </xf>
    <xf numFmtId="2" fontId="31" fillId="0" borderId="0" xfId="0" applyNumberFormat="1" applyFont="1" applyAlignment="1" applyProtection="1">
      <alignment horizontal="center"/>
    </xf>
    <xf numFmtId="2" fontId="11" fillId="0" borderId="80" xfId="0" applyNumberFormat="1" applyFont="1" applyFill="1" applyBorder="1" applyAlignment="1" applyProtection="1">
      <alignment horizontal="center"/>
      <protection locked="0"/>
    </xf>
    <xf numFmtId="0" fontId="4" fillId="0" borderId="0" xfId="0" applyFont="1" applyAlignment="1" applyProtection="1"/>
    <xf numFmtId="0" fontId="3" fillId="0" borderId="69" xfId="0" applyFont="1" applyBorder="1" applyAlignment="1" applyProtection="1"/>
    <xf numFmtId="0" fontId="4" fillId="0" borderId="69" xfId="0" applyFont="1" applyBorder="1" applyAlignment="1" applyProtection="1">
      <alignment horizontal="center" vertical="top" wrapTex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2" fillId="44" borderId="68" xfId="0" applyFont="1" applyFill="1" applyBorder="1" applyAlignment="1" applyProtection="1">
      <alignment horizontal="left" indent="4"/>
    </xf>
    <xf numFmtId="0" fontId="2" fillId="44" borderId="141" xfId="0" applyFont="1" applyFill="1" applyBorder="1" applyAlignment="1" applyProtection="1">
      <alignment horizontal="left" indent="4"/>
    </xf>
    <xf numFmtId="0" fontId="27" fillId="44" borderId="142" xfId="0" applyFont="1" applyFill="1" applyBorder="1" applyProtection="1"/>
    <xf numFmtId="0" fontId="59" fillId="44" borderId="143" xfId="0" applyFont="1" applyFill="1" applyBorder="1" applyAlignment="1" applyProtection="1">
      <alignment horizontal="left"/>
    </xf>
    <xf numFmtId="0" fontId="27" fillId="44" borderId="143" xfId="0" applyFont="1" applyFill="1" applyBorder="1" applyProtection="1"/>
    <xf numFmtId="0" fontId="27" fillId="44" borderId="143" xfId="0" applyFont="1" applyFill="1" applyBorder="1" applyAlignment="1" applyProtection="1">
      <alignment horizontal="center"/>
    </xf>
    <xf numFmtId="0" fontId="27" fillId="44" borderId="144" xfId="0" applyFont="1" applyFill="1" applyBorder="1" applyProtection="1"/>
    <xf numFmtId="0" fontId="0" fillId="44" borderId="138" xfId="0" applyFill="1" applyBorder="1" applyProtection="1"/>
    <xf numFmtId="0" fontId="0" fillId="44" borderId="139" xfId="0" applyFill="1" applyBorder="1" applyProtection="1"/>
    <xf numFmtId="0" fontId="48" fillId="44" borderId="139" xfId="0" applyFont="1" applyFill="1" applyBorder="1" applyProtection="1"/>
    <xf numFmtId="0" fontId="0" fillId="44" borderId="140" xfId="0" applyFill="1" applyBorder="1" applyProtection="1"/>
    <xf numFmtId="0" fontId="63" fillId="12" borderId="30" xfId="0" applyFont="1" applyFill="1" applyBorder="1" applyAlignment="1">
      <alignment horizontal="center" vertical="center"/>
    </xf>
    <xf numFmtId="0" fontId="64" fillId="0" borderId="0" xfId="0" applyFont="1" applyProtection="1"/>
    <xf numFmtId="2" fontId="11" fillId="15" borderId="80" xfId="0" applyNumberFormat="1" applyFont="1" applyFill="1" applyBorder="1" applyAlignment="1" applyProtection="1">
      <alignment horizontal="center"/>
    </xf>
    <xf numFmtId="0" fontId="0" fillId="0" borderId="89" xfId="0" applyBorder="1" applyProtection="1"/>
    <xf numFmtId="0" fontId="0" fillId="0" borderId="91" xfId="0" applyBorder="1" applyProtection="1"/>
    <xf numFmtId="0" fontId="0" fillId="0" borderId="97" xfId="0" applyBorder="1" applyProtection="1"/>
    <xf numFmtId="2" fontId="24" fillId="47" borderId="81" xfId="0" applyNumberFormat="1" applyFont="1" applyFill="1" applyBorder="1" applyAlignment="1" applyProtection="1">
      <alignment horizontal="center"/>
    </xf>
    <xf numFmtId="2" fontId="24" fillId="46" borderId="83" xfId="0" applyNumberFormat="1" applyFont="1" applyFill="1" applyBorder="1" applyAlignment="1" applyProtection="1">
      <alignment horizontal="center"/>
    </xf>
    <xf numFmtId="0" fontId="26" fillId="0" borderId="0" xfId="0" applyFont="1" applyBorder="1" applyAlignment="1" applyProtection="1">
      <alignment vertical="top" wrapText="1"/>
    </xf>
    <xf numFmtId="0" fontId="55" fillId="0" borderId="0" xfId="0" applyFont="1" applyProtection="1">
      <protection hidden="1"/>
    </xf>
    <xf numFmtId="0" fontId="48" fillId="0" borderId="87" xfId="0" applyFont="1" applyBorder="1" applyAlignment="1" applyProtection="1">
      <alignment horizontal="right" vertical="center"/>
    </xf>
    <xf numFmtId="0" fontId="48" fillId="0" borderId="90" xfId="0" applyFont="1" applyBorder="1" applyAlignment="1" applyProtection="1">
      <alignment horizontal="right" vertical="center"/>
    </xf>
    <xf numFmtId="0" fontId="48" fillId="0" borderId="95" xfId="0" applyFont="1" applyBorder="1" applyAlignment="1" applyProtection="1">
      <alignment horizontal="right" vertical="center"/>
    </xf>
    <xf numFmtId="0" fontId="4" fillId="0" borderId="96" xfId="0" applyFont="1" applyBorder="1" applyAlignment="1" applyProtection="1">
      <alignment vertical="top" wrapText="1"/>
    </xf>
    <xf numFmtId="0" fontId="0" fillId="0" borderId="97" xfId="0" applyBorder="1"/>
    <xf numFmtId="0" fontId="48" fillId="0" borderId="89" xfId="0" applyFont="1" applyBorder="1" applyAlignment="1">
      <alignment horizontal="left"/>
    </xf>
    <xf numFmtId="0" fontId="48" fillId="0" borderId="91" xfId="0" applyFont="1" applyBorder="1" applyAlignment="1">
      <alignment horizontal="left"/>
    </xf>
    <xf numFmtId="2" fontId="27" fillId="0" borderId="89" xfId="0" applyNumberFormat="1" applyFont="1" applyBorder="1" applyAlignment="1" applyProtection="1">
      <alignment horizontal="left"/>
    </xf>
    <xf numFmtId="2" fontId="27" fillId="0" borderId="91" xfId="0" applyNumberFormat="1" applyFont="1" applyBorder="1" applyAlignment="1" applyProtection="1">
      <alignment horizontal="left"/>
    </xf>
    <xf numFmtId="2" fontId="27" fillId="0" borderId="97" xfId="0" applyNumberFormat="1" applyFont="1" applyBorder="1" applyAlignment="1" applyProtection="1">
      <alignment horizontal="left"/>
    </xf>
    <xf numFmtId="0" fontId="48" fillId="0" borderId="0" xfId="0" applyFont="1" applyFill="1" applyBorder="1" applyAlignment="1" applyProtection="1">
      <alignment horizontal="right" vertical="center"/>
    </xf>
    <xf numFmtId="169" fontId="24" fillId="0" borderId="0" xfId="0" applyNumberFormat="1" applyFont="1" applyFill="1" applyBorder="1" applyAlignment="1" applyProtection="1">
      <alignment horizontal="center" vertical="center"/>
    </xf>
    <xf numFmtId="0" fontId="0" fillId="0" borderId="0" xfId="0" applyFill="1" applyProtection="1"/>
    <xf numFmtId="0" fontId="68" fillId="25" borderId="0" xfId="0" applyFont="1" applyFill="1" applyAlignment="1" applyProtection="1">
      <alignment horizontal="center" vertical="center"/>
    </xf>
    <xf numFmtId="0" fontId="0" fillId="0" borderId="0" xfId="0" applyAlignment="1">
      <alignment horizontal="center"/>
    </xf>
    <xf numFmtId="0" fontId="48" fillId="44" borderId="96" xfId="0" applyFont="1" applyFill="1" applyBorder="1" applyProtection="1"/>
    <xf numFmtId="0" fontId="4" fillId="44" borderId="96" xfId="0" applyFont="1" applyFill="1" applyBorder="1" applyProtection="1"/>
    <xf numFmtId="0" fontId="0" fillId="44" borderId="0" xfId="0" applyFill="1"/>
    <xf numFmtId="0" fontId="27" fillId="44" borderId="127" xfId="0" applyFont="1" applyFill="1" applyBorder="1" applyProtection="1"/>
    <xf numFmtId="0" fontId="59" fillId="44" borderId="125" xfId="0" applyFont="1" applyFill="1" applyBorder="1" applyAlignment="1" applyProtection="1">
      <alignment horizontal="left"/>
    </xf>
    <xf numFmtId="0" fontId="27" fillId="44" borderId="125" xfId="0" applyFont="1" applyFill="1" applyBorder="1" applyProtection="1"/>
    <xf numFmtId="0" fontId="27" fillId="44" borderId="125" xfId="0" applyFont="1" applyFill="1" applyBorder="1" applyAlignment="1" applyProtection="1">
      <alignment horizontal="center"/>
    </xf>
    <xf numFmtId="0" fontId="27" fillId="44" borderId="126" xfId="0" applyFont="1" applyFill="1" applyBorder="1" applyProtection="1"/>
    <xf numFmtId="0" fontId="4" fillId="44" borderId="132" xfId="0" applyFont="1" applyFill="1" applyBorder="1" applyAlignment="1" applyProtection="1">
      <alignment horizontal="center" vertical="center"/>
    </xf>
    <xf numFmtId="0" fontId="27" fillId="0" borderId="122" xfId="0" applyFont="1" applyFill="1" applyBorder="1" applyAlignment="1" applyProtection="1">
      <alignment horizontal="center"/>
      <protection locked="0"/>
    </xf>
    <xf numFmtId="0" fontId="27" fillId="0" borderId="123" xfId="0" applyFont="1" applyFill="1" applyBorder="1" applyAlignment="1" applyProtection="1">
      <alignment horizontal="center"/>
      <protection locked="0"/>
    </xf>
    <xf numFmtId="0" fontId="27" fillId="0" borderId="124" xfId="0" applyFont="1" applyFill="1" applyBorder="1" applyAlignment="1" applyProtection="1">
      <alignment horizontal="center"/>
      <protection locked="0"/>
    </xf>
    <xf numFmtId="2" fontId="62" fillId="0" borderId="87" xfId="0" applyNumberFormat="1" applyFont="1" applyFill="1" applyBorder="1" applyAlignment="1" applyProtection="1">
      <alignment horizontal="center" vertical="center"/>
      <protection locked="0"/>
    </xf>
    <xf numFmtId="2" fontId="62" fillId="0" borderId="88" xfId="0" applyNumberFormat="1" applyFont="1" applyFill="1" applyBorder="1" applyAlignment="1" applyProtection="1">
      <alignment horizontal="center" vertical="center"/>
      <protection locked="0"/>
    </xf>
    <xf numFmtId="2" fontId="62" fillId="0" borderId="89" xfId="0" applyNumberFormat="1" applyFont="1" applyFill="1" applyBorder="1" applyAlignment="1" applyProtection="1">
      <alignment horizontal="center" vertical="center"/>
      <protection locked="0"/>
    </xf>
    <xf numFmtId="2" fontId="62" fillId="0" borderId="95" xfId="0" applyNumberFormat="1" applyFont="1" applyFill="1" applyBorder="1" applyAlignment="1" applyProtection="1">
      <alignment horizontal="center" vertical="center"/>
      <protection locked="0"/>
    </xf>
    <xf numFmtId="2" fontId="62" fillId="0" borderId="96" xfId="0" applyNumberFormat="1" applyFont="1" applyFill="1" applyBorder="1" applyAlignment="1" applyProtection="1">
      <alignment horizontal="center" vertical="center"/>
      <protection locked="0"/>
    </xf>
    <xf numFmtId="2" fontId="62" fillId="0" borderId="97" xfId="0" applyNumberFormat="1" applyFont="1" applyFill="1" applyBorder="1" applyAlignment="1" applyProtection="1">
      <alignment horizontal="center" vertical="center"/>
      <protection locked="0"/>
    </xf>
    <xf numFmtId="2" fontId="16" fillId="0" borderId="87" xfId="0" applyNumberFormat="1" applyFont="1" applyFill="1" applyBorder="1" applyAlignment="1" applyProtection="1">
      <alignment horizontal="center" vertical="center"/>
      <protection locked="0"/>
    </xf>
    <xf numFmtId="2" fontId="16" fillId="0" borderId="88" xfId="0" applyNumberFormat="1" applyFont="1" applyFill="1" applyBorder="1" applyAlignment="1" applyProtection="1">
      <alignment horizontal="center" vertical="center"/>
      <protection locked="0"/>
    </xf>
    <xf numFmtId="2" fontId="16" fillId="0" borderId="89" xfId="0" applyNumberFormat="1" applyFont="1" applyFill="1" applyBorder="1" applyAlignment="1" applyProtection="1">
      <alignment horizontal="center" vertical="center"/>
      <protection locked="0"/>
    </xf>
    <xf numFmtId="2" fontId="16" fillId="0" borderId="95" xfId="0" applyNumberFormat="1" applyFont="1" applyFill="1" applyBorder="1" applyAlignment="1" applyProtection="1">
      <alignment horizontal="center" vertical="center"/>
      <protection locked="0"/>
    </xf>
    <xf numFmtId="2" fontId="16" fillId="0" borderId="96" xfId="0" applyNumberFormat="1" applyFont="1" applyFill="1" applyBorder="1" applyAlignment="1" applyProtection="1">
      <alignment horizontal="center" vertical="center"/>
      <protection locked="0"/>
    </xf>
    <xf numFmtId="2" fontId="16" fillId="0" borderId="97" xfId="0" applyNumberFormat="1" applyFont="1" applyFill="1" applyBorder="1" applyAlignment="1" applyProtection="1">
      <alignment horizontal="center" vertical="center"/>
      <protection locked="0"/>
    </xf>
    <xf numFmtId="0" fontId="10" fillId="0" borderId="81" xfId="0" applyFont="1" applyFill="1" applyBorder="1" applyAlignment="1" applyProtection="1">
      <alignment horizontal="center"/>
      <protection locked="0"/>
    </xf>
    <xf numFmtId="0" fontId="10" fillId="0" borderId="82" xfId="0" applyFont="1" applyFill="1" applyBorder="1" applyAlignment="1" applyProtection="1">
      <alignment horizontal="center"/>
      <protection locked="0"/>
    </xf>
    <xf numFmtId="0" fontId="10" fillId="0" borderId="83" xfId="0" applyFont="1" applyFill="1" applyBorder="1" applyAlignment="1" applyProtection="1">
      <alignment horizontal="center"/>
      <protection locked="0"/>
    </xf>
    <xf numFmtId="2" fontId="16" fillId="10" borderId="87" xfId="0" applyNumberFormat="1" applyFont="1" applyFill="1" applyBorder="1" applyAlignment="1" applyProtection="1">
      <alignment horizontal="center" vertical="center"/>
    </xf>
    <xf numFmtId="2" fontId="16" fillId="10" borderId="88" xfId="0" applyNumberFormat="1" applyFont="1" applyFill="1" applyBorder="1" applyAlignment="1" applyProtection="1">
      <alignment horizontal="center" vertical="center"/>
    </xf>
    <xf numFmtId="2" fontId="16" fillId="10" borderId="89" xfId="0" applyNumberFormat="1" applyFont="1" applyFill="1" applyBorder="1" applyAlignment="1" applyProtection="1">
      <alignment horizontal="center" vertical="center"/>
    </xf>
    <xf numFmtId="2" fontId="16" fillId="10" borderId="95" xfId="0" applyNumberFormat="1" applyFont="1" applyFill="1" applyBorder="1" applyAlignment="1" applyProtection="1">
      <alignment horizontal="center" vertical="center"/>
    </xf>
    <xf numFmtId="2" fontId="16" fillId="10" borderId="96" xfId="0" applyNumberFormat="1" applyFont="1" applyFill="1" applyBorder="1" applyAlignment="1" applyProtection="1">
      <alignment horizontal="center" vertical="center"/>
    </xf>
    <xf numFmtId="2" fontId="16" fillId="10" borderId="97" xfId="0" applyNumberFormat="1" applyFont="1" applyFill="1" applyBorder="1" applyAlignment="1" applyProtection="1">
      <alignment horizontal="center" vertical="center"/>
    </xf>
    <xf numFmtId="0" fontId="4" fillId="44" borderId="0" xfId="0" applyFont="1" applyFill="1" applyBorder="1" applyAlignment="1" applyProtection="1">
      <alignment horizontal="center" vertical="top" wrapText="1"/>
    </xf>
    <xf numFmtId="0" fontId="4" fillId="44" borderId="131" xfId="0" applyFont="1" applyFill="1" applyBorder="1" applyAlignment="1" applyProtection="1">
      <alignment horizontal="center" vertical="top" wrapText="1"/>
    </xf>
    <xf numFmtId="0" fontId="10" fillId="44" borderId="81" xfId="0" applyFont="1" applyFill="1" applyBorder="1" applyAlignment="1" applyProtection="1">
      <alignment horizontal="center"/>
    </xf>
    <xf numFmtId="0" fontId="0" fillId="44" borderId="82" xfId="0" applyFill="1" applyBorder="1" applyProtection="1"/>
    <xf numFmtId="0" fontId="0" fillId="44" borderId="83" xfId="0" applyFill="1" applyBorder="1" applyProtection="1"/>
    <xf numFmtId="0" fontId="11" fillId="0" borderId="81" xfId="0" applyFont="1" applyFill="1" applyBorder="1" applyAlignment="1" applyProtection="1">
      <alignment horizontal="center"/>
      <protection locked="0"/>
    </xf>
    <xf numFmtId="0" fontId="11" fillId="0" borderId="82" xfId="0" applyFont="1" applyFill="1" applyBorder="1" applyAlignment="1" applyProtection="1">
      <alignment horizontal="center"/>
      <protection locked="0"/>
    </xf>
    <xf numFmtId="0" fontId="11" fillId="0" borderId="83" xfId="0" applyFont="1" applyFill="1" applyBorder="1" applyAlignment="1" applyProtection="1">
      <alignment horizontal="center"/>
      <protection locked="0"/>
    </xf>
    <xf numFmtId="0" fontId="61" fillId="45" borderId="134" xfId="0" applyFont="1" applyFill="1" applyBorder="1" applyAlignment="1" applyProtection="1">
      <alignment horizontal="center"/>
    </xf>
    <xf numFmtId="0" fontId="61" fillId="45" borderId="0" xfId="0" applyFont="1" applyFill="1" applyBorder="1" applyAlignment="1" applyProtection="1">
      <alignment horizontal="center"/>
    </xf>
    <xf numFmtId="0" fontId="38" fillId="44" borderId="0" xfId="0" applyFont="1" applyFill="1" applyBorder="1" applyAlignment="1" applyProtection="1">
      <alignment horizontal="center" textRotation="90"/>
    </xf>
    <xf numFmtId="0" fontId="45" fillId="0" borderId="81" xfId="0" applyFont="1" applyBorder="1" applyAlignment="1" applyProtection="1">
      <alignment horizontal="center"/>
      <protection locked="0"/>
    </xf>
    <xf numFmtId="0" fontId="45" fillId="0" borderId="82" xfId="0" applyFont="1" applyBorder="1" applyAlignment="1" applyProtection="1">
      <alignment horizontal="center"/>
      <protection locked="0"/>
    </xf>
    <xf numFmtId="0" fontId="45" fillId="0" borderId="83" xfId="0" applyFont="1" applyBorder="1" applyAlignment="1" applyProtection="1">
      <alignment horizontal="center"/>
      <protection locked="0"/>
    </xf>
    <xf numFmtId="2" fontId="11" fillId="11" borderId="81" xfId="0" applyNumberFormat="1" applyFont="1" applyFill="1" applyBorder="1" applyAlignment="1" applyProtection="1">
      <alignment horizontal="center"/>
    </xf>
    <xf numFmtId="2" fontId="11" fillId="11" borderId="82" xfId="0" applyNumberFormat="1" applyFont="1" applyFill="1" applyBorder="1" applyAlignment="1" applyProtection="1">
      <alignment horizontal="center"/>
    </xf>
    <xf numFmtId="2" fontId="11" fillId="11" borderId="83" xfId="0" applyNumberFormat="1" applyFont="1" applyFill="1" applyBorder="1" applyAlignment="1" applyProtection="1">
      <alignment horizontal="center"/>
    </xf>
    <xf numFmtId="0" fontId="30" fillId="44" borderId="0" xfId="0" applyFont="1" applyFill="1" applyBorder="1" applyAlignment="1" applyProtection="1">
      <alignment horizontal="center" vertical="center" textRotation="90" wrapText="1"/>
    </xf>
    <xf numFmtId="0" fontId="30" fillId="44" borderId="0" xfId="0" applyFont="1" applyFill="1" applyBorder="1" applyAlignment="1" applyProtection="1">
      <alignment horizontal="center" vertical="center" wrapText="1"/>
    </xf>
    <xf numFmtId="0" fontId="45" fillId="44" borderId="87" xfId="0" applyFont="1" applyFill="1" applyBorder="1" applyAlignment="1" applyProtection="1">
      <alignment horizontal="center" vertical="center" wrapText="1"/>
    </xf>
    <xf numFmtId="0" fontId="45" fillId="44" borderId="88" xfId="0" applyFont="1" applyFill="1" applyBorder="1" applyAlignment="1" applyProtection="1">
      <alignment horizontal="center" vertical="center" wrapText="1"/>
    </xf>
    <xf numFmtId="0" fontId="45" fillId="44" borderId="89" xfId="0" applyFont="1" applyFill="1" applyBorder="1" applyAlignment="1" applyProtection="1">
      <alignment horizontal="center" vertical="center" wrapText="1"/>
    </xf>
    <xf numFmtId="0" fontId="45" fillId="44" borderId="90" xfId="0" applyFont="1" applyFill="1" applyBorder="1" applyAlignment="1" applyProtection="1">
      <alignment horizontal="center" vertical="center" wrapText="1"/>
    </xf>
    <xf numFmtId="0" fontId="45" fillId="44" borderId="0" xfId="0" applyFont="1" applyFill="1" applyBorder="1" applyAlignment="1" applyProtection="1">
      <alignment horizontal="center" vertical="center" wrapText="1"/>
    </xf>
    <xf numFmtId="0" fontId="45" fillId="44" borderId="91" xfId="0" applyFont="1" applyFill="1" applyBorder="1" applyAlignment="1" applyProtection="1">
      <alignment horizontal="center" vertical="center" wrapText="1"/>
    </xf>
    <xf numFmtId="0" fontId="45" fillId="44" borderId="95" xfId="0" applyFont="1" applyFill="1" applyBorder="1" applyAlignment="1" applyProtection="1">
      <alignment horizontal="center" vertical="center" wrapText="1"/>
    </xf>
    <xf numFmtId="0" fontId="45" fillId="44" borderId="96" xfId="0" applyFont="1" applyFill="1" applyBorder="1" applyAlignment="1" applyProtection="1">
      <alignment horizontal="center" vertical="center" wrapText="1"/>
    </xf>
    <xf numFmtId="0" fontId="45" fillId="44" borderId="97" xfId="0" applyFont="1" applyFill="1" applyBorder="1" applyAlignment="1" applyProtection="1">
      <alignment horizontal="center" vertical="center" wrapText="1"/>
    </xf>
    <xf numFmtId="0" fontId="11" fillId="0" borderId="87" xfId="0" applyFont="1" applyFill="1" applyBorder="1" applyAlignment="1" applyProtection="1">
      <alignment horizontal="center"/>
      <protection locked="0"/>
    </xf>
    <xf numFmtId="0" fontId="11" fillId="0" borderId="88" xfId="0" applyFont="1" applyFill="1" applyBorder="1" applyAlignment="1" applyProtection="1">
      <alignment horizontal="center"/>
      <protection locked="0"/>
    </xf>
    <xf numFmtId="0" fontId="11" fillId="0" borderId="89" xfId="0" applyFont="1" applyFill="1" applyBorder="1" applyAlignment="1" applyProtection="1">
      <alignment horizontal="center"/>
      <protection locked="0"/>
    </xf>
    <xf numFmtId="0" fontId="65" fillId="25" borderId="0" xfId="0" applyFont="1" applyFill="1" applyAlignment="1" applyProtection="1">
      <alignment horizontal="center" vertical="center"/>
    </xf>
    <xf numFmtId="0" fontId="67" fillId="25" borderId="0" xfId="0" applyFont="1" applyFill="1" applyAlignment="1" applyProtection="1">
      <alignment horizontal="center" vertical="center"/>
    </xf>
    <xf numFmtId="0" fontId="66" fillId="25" borderId="0" xfId="0" applyFont="1" applyFill="1" applyAlignment="1" applyProtection="1">
      <alignment horizontal="center" vertical="center"/>
    </xf>
    <xf numFmtId="0" fontId="4" fillId="44" borderId="88" xfId="0" applyFont="1" applyFill="1" applyBorder="1" applyAlignment="1" applyProtection="1">
      <alignment horizontal="center" vertical="center"/>
    </xf>
    <xf numFmtId="0" fontId="10" fillId="0" borderId="87" xfId="0" applyFont="1" applyFill="1" applyBorder="1" applyAlignment="1" applyProtection="1">
      <alignment horizontal="center"/>
      <protection locked="0"/>
    </xf>
    <xf numFmtId="0" fontId="10" fillId="0" borderId="88" xfId="0" applyFont="1" applyFill="1" applyBorder="1" applyAlignment="1" applyProtection="1">
      <alignment horizontal="center"/>
      <protection locked="0"/>
    </xf>
    <xf numFmtId="0" fontId="10" fillId="0" borderId="89" xfId="0" applyFont="1" applyFill="1" applyBorder="1" applyAlignment="1" applyProtection="1">
      <alignment horizontal="center"/>
      <protection locked="0"/>
    </xf>
    <xf numFmtId="0" fontId="45" fillId="0" borderId="81" xfId="0" applyFont="1" applyFill="1" applyBorder="1" applyAlignment="1" applyProtection="1">
      <alignment horizontal="center"/>
      <protection locked="0"/>
    </xf>
    <xf numFmtId="0" fontId="45" fillId="0" borderId="82" xfId="0" applyFont="1" applyFill="1" applyBorder="1" applyAlignment="1" applyProtection="1">
      <alignment horizontal="center"/>
      <protection locked="0"/>
    </xf>
    <xf numFmtId="0" fontId="45" fillId="0" borderId="83" xfId="0" applyFont="1" applyFill="1" applyBorder="1" applyAlignment="1" applyProtection="1">
      <alignment horizontal="center"/>
      <protection locked="0"/>
    </xf>
    <xf numFmtId="14" fontId="11" fillId="0" borderId="81" xfId="0" applyNumberFormat="1" applyFont="1" applyFill="1" applyBorder="1" applyAlignment="1" applyProtection="1">
      <alignment horizontal="center"/>
      <protection locked="0"/>
    </xf>
    <xf numFmtId="14" fontId="11" fillId="0" borderId="82" xfId="0" applyNumberFormat="1" applyFont="1" applyFill="1" applyBorder="1" applyAlignment="1" applyProtection="1">
      <alignment horizontal="center"/>
      <protection locked="0"/>
    </xf>
    <xf numFmtId="14" fontId="11" fillId="0" borderId="83" xfId="0" applyNumberFormat="1" applyFont="1" applyFill="1" applyBorder="1" applyAlignment="1" applyProtection="1">
      <alignment horizontal="center"/>
      <protection locked="0"/>
    </xf>
    <xf numFmtId="2" fontId="16" fillId="30" borderId="87" xfId="0" applyNumberFormat="1" applyFont="1" applyFill="1" applyBorder="1" applyAlignment="1" applyProtection="1">
      <alignment horizontal="center" vertical="center"/>
    </xf>
    <xf numFmtId="0" fontId="0" fillId="30" borderId="88" xfId="0" applyFill="1" applyBorder="1" applyProtection="1"/>
    <xf numFmtId="0" fontId="0" fillId="30" borderId="89" xfId="0" applyFill="1" applyBorder="1" applyProtection="1"/>
    <xf numFmtId="0" fontId="0" fillId="30" borderId="95" xfId="0" applyFill="1" applyBorder="1" applyProtection="1"/>
    <xf numFmtId="0" fontId="0" fillId="30" borderId="96" xfId="0" applyFill="1" applyBorder="1" applyProtection="1"/>
    <xf numFmtId="0" fontId="0" fillId="30" borderId="97" xfId="0" applyFill="1" applyBorder="1" applyProtection="1"/>
    <xf numFmtId="0" fontId="26" fillId="0" borderId="0" xfId="0" applyFont="1" applyBorder="1" applyAlignment="1" applyProtection="1">
      <alignment horizontal="left" vertical="top" wrapText="1"/>
    </xf>
    <xf numFmtId="0" fontId="4" fillId="0" borderId="0" xfId="0" applyFont="1" applyBorder="1" applyAlignment="1" applyProtection="1">
      <alignment horizontal="center" vertical="top" wrapText="1"/>
    </xf>
    <xf numFmtId="0" fontId="14" fillId="9" borderId="31" xfId="0" applyFont="1" applyFill="1" applyBorder="1" applyAlignment="1" applyProtection="1">
      <alignment horizontal="center"/>
    </xf>
    <xf numFmtId="0" fontId="14" fillId="9" borderId="32" xfId="0" applyFont="1" applyFill="1" applyBorder="1" applyAlignment="1" applyProtection="1">
      <alignment horizontal="center"/>
    </xf>
    <xf numFmtId="0" fontId="14" fillId="9" borderId="33" xfId="0" applyFont="1" applyFill="1" applyBorder="1" applyAlignment="1" applyProtection="1">
      <alignment horizontal="center"/>
    </xf>
    <xf numFmtId="0" fontId="4" fillId="0" borderId="87" xfId="0" applyFont="1" applyBorder="1" applyAlignment="1" applyProtection="1">
      <alignment horizontal="left" vertical="center" wrapText="1" indent="1"/>
    </xf>
    <xf numFmtId="0" fontId="4" fillId="0" borderId="88" xfId="0" applyFont="1" applyBorder="1" applyAlignment="1" applyProtection="1">
      <alignment horizontal="left" vertical="center" wrapText="1" indent="1"/>
    </xf>
    <xf numFmtId="0" fontId="4" fillId="0" borderId="90" xfId="0" applyFont="1" applyBorder="1" applyAlignment="1" applyProtection="1">
      <alignment horizontal="left" vertical="center" wrapText="1" indent="1"/>
    </xf>
    <xf numFmtId="0" fontId="4" fillId="0" borderId="0" xfId="0" applyFont="1" applyBorder="1" applyAlignment="1" applyProtection="1">
      <alignment horizontal="left" vertical="center" wrapText="1" indent="1"/>
    </xf>
    <xf numFmtId="0" fontId="4" fillId="0" borderId="95" xfId="0" applyFont="1" applyBorder="1" applyAlignment="1" applyProtection="1">
      <alignment horizontal="left" vertical="center" wrapText="1" indent="1"/>
    </xf>
    <xf numFmtId="0" fontId="4" fillId="0" borderId="96" xfId="0" applyFont="1" applyBorder="1" applyAlignment="1" applyProtection="1">
      <alignment horizontal="left" vertical="center" wrapText="1" indent="1"/>
    </xf>
    <xf numFmtId="2" fontId="16" fillId="46" borderId="145" xfId="0" applyNumberFormat="1" applyFont="1" applyFill="1" applyBorder="1" applyAlignment="1" applyProtection="1">
      <alignment horizontal="center" vertical="center"/>
    </xf>
    <xf numFmtId="2" fontId="16" fillId="46" borderId="146" xfId="0" applyNumberFormat="1" applyFont="1" applyFill="1" applyBorder="1" applyAlignment="1" applyProtection="1">
      <alignment horizontal="center" vertical="center"/>
    </xf>
    <xf numFmtId="2" fontId="16" fillId="46" borderId="147" xfId="0" applyNumberFormat="1" applyFont="1" applyFill="1" applyBorder="1" applyAlignment="1" applyProtection="1">
      <alignment horizontal="center" vertical="center"/>
    </xf>
    <xf numFmtId="0" fontId="25" fillId="0" borderId="0" xfId="0" applyFont="1" applyAlignment="1" applyProtection="1">
      <alignment horizontal="center"/>
    </xf>
    <xf numFmtId="0" fontId="26" fillId="0" borderId="0" xfId="0" applyFont="1" applyBorder="1" applyAlignment="1" applyProtection="1">
      <alignment horizontal="center" vertical="top" wrapText="1"/>
    </xf>
    <xf numFmtId="0" fontId="33" fillId="0" borderId="0" xfId="0" applyFont="1" applyAlignment="1" applyProtection="1">
      <alignment horizontal="center"/>
    </xf>
    <xf numFmtId="0" fontId="10" fillId="11" borderId="81" xfId="0" applyFont="1" applyFill="1" applyBorder="1" applyAlignment="1" applyProtection="1">
      <alignment horizontal="center"/>
    </xf>
    <xf numFmtId="0" fontId="10" fillId="11" borderId="82" xfId="0" applyFont="1" applyFill="1" applyBorder="1" applyAlignment="1" applyProtection="1">
      <alignment horizontal="center"/>
    </xf>
    <xf numFmtId="0" fontId="10" fillId="11" borderId="83" xfId="0" applyFont="1" applyFill="1" applyBorder="1" applyAlignment="1" applyProtection="1">
      <alignment horizontal="center"/>
    </xf>
    <xf numFmtId="0" fontId="49" fillId="0" borderId="69" xfId="0" applyFont="1" applyBorder="1" applyAlignment="1" applyProtection="1">
      <alignment horizontal="right" vertical="top" wrapText="1"/>
    </xf>
    <xf numFmtId="0" fontId="4" fillId="11" borderId="81" xfId="0" applyFont="1" applyFill="1" applyBorder="1" applyAlignment="1" applyProtection="1">
      <alignment horizontal="left"/>
    </xf>
    <xf numFmtId="0" fontId="2" fillId="0" borderId="82" xfId="0" applyFont="1" applyBorder="1" applyAlignment="1" applyProtection="1">
      <alignment horizontal="left"/>
    </xf>
    <xf numFmtId="0" fontId="2" fillId="0" borderId="83" xfId="0" applyFont="1" applyBorder="1" applyAlignment="1" applyProtection="1">
      <alignment horizontal="left"/>
    </xf>
    <xf numFmtId="2" fontId="16" fillId="47" borderId="84" xfId="0" applyNumberFormat="1" applyFont="1" applyFill="1" applyBorder="1" applyAlignment="1" applyProtection="1">
      <alignment horizontal="center" vertical="center"/>
    </xf>
    <xf numFmtId="2" fontId="16" fillId="47" borderId="85" xfId="0" applyNumberFormat="1" applyFont="1" applyFill="1" applyBorder="1" applyAlignment="1" applyProtection="1">
      <alignment horizontal="center" vertical="center"/>
    </xf>
    <xf numFmtId="0" fontId="10" fillId="0" borderId="81" xfId="0" applyFont="1" applyBorder="1" applyAlignment="1" applyProtection="1">
      <alignment horizontal="center"/>
    </xf>
    <xf numFmtId="0" fontId="0" fillId="0" borderId="82" xfId="0" applyBorder="1" applyProtection="1"/>
    <xf numFmtId="0" fontId="0" fillId="0" borderId="83" xfId="0" applyBorder="1" applyProtection="1"/>
    <xf numFmtId="0" fontId="68" fillId="25" borderId="0" xfId="0" applyFont="1" applyFill="1" applyAlignment="1" applyProtection="1">
      <alignment horizontal="center" vertical="center" wrapText="1"/>
    </xf>
    <xf numFmtId="0" fontId="65" fillId="25" borderId="0" xfId="0" applyFont="1" applyFill="1" applyAlignment="1" applyProtection="1">
      <alignment horizontal="left" vertical="center" indent="1"/>
    </xf>
    <xf numFmtId="0" fontId="67" fillId="25" borderId="0" xfId="0" applyFont="1" applyFill="1" applyAlignment="1" applyProtection="1">
      <alignment horizontal="right" vertical="center" indent="1"/>
    </xf>
    <xf numFmtId="0" fontId="10" fillId="11" borderId="0" xfId="0" applyFont="1" applyFill="1" applyBorder="1" applyAlignment="1" applyProtection="1">
      <alignment horizontal="left" vertical="top" wrapText="1" indent="1"/>
    </xf>
    <xf numFmtId="0" fontId="39" fillId="0" borderId="87" xfId="0" applyFont="1" applyBorder="1" applyAlignment="1" applyProtection="1">
      <alignment horizontal="center"/>
    </xf>
    <xf numFmtId="0" fontId="39" fillId="0" borderId="88" xfId="0" applyFont="1" applyBorder="1" applyAlignment="1" applyProtection="1">
      <alignment horizontal="center"/>
    </xf>
    <xf numFmtId="0" fontId="39" fillId="0" borderId="89" xfId="0" applyFont="1" applyBorder="1" applyAlignment="1" applyProtection="1">
      <alignment horizontal="center"/>
    </xf>
    <xf numFmtId="0" fontId="48" fillId="0" borderId="90" xfId="0" applyFont="1" applyBorder="1" applyAlignment="1" applyProtection="1">
      <alignment horizontal="center"/>
    </xf>
    <xf numFmtId="0" fontId="48" fillId="0" borderId="0" xfId="0" applyFont="1" applyBorder="1" applyAlignment="1" applyProtection="1">
      <alignment horizontal="center"/>
    </xf>
    <xf numFmtId="0" fontId="48" fillId="0" borderId="91" xfId="0" applyFont="1" applyBorder="1" applyAlignment="1" applyProtection="1">
      <alignment horizontal="center"/>
    </xf>
    <xf numFmtId="0" fontId="35" fillId="16" borderId="31" xfId="0" applyFont="1" applyFill="1" applyBorder="1" applyAlignment="1" applyProtection="1">
      <alignment horizontal="center"/>
    </xf>
    <xf numFmtId="0" fontId="35" fillId="16" borderId="32" xfId="0" applyFont="1" applyFill="1" applyBorder="1" applyAlignment="1" applyProtection="1">
      <alignment horizontal="center"/>
    </xf>
    <xf numFmtId="0" fontId="35" fillId="16" borderId="33" xfId="0" applyFont="1" applyFill="1" applyBorder="1" applyAlignment="1" applyProtection="1">
      <alignment horizontal="center"/>
    </xf>
    <xf numFmtId="0" fontId="4" fillId="0" borderId="0" xfId="0" applyFont="1" applyAlignment="1" applyProtection="1">
      <alignment horizontal="left" vertical="top" wrapText="1"/>
    </xf>
    <xf numFmtId="2" fontId="16" fillId="18" borderId="70" xfId="0" applyNumberFormat="1" applyFont="1" applyFill="1" applyBorder="1" applyAlignment="1" applyProtection="1">
      <alignment horizontal="center"/>
    </xf>
    <xf numFmtId="2" fontId="16" fillId="18" borderId="71" xfId="0" applyNumberFormat="1" applyFont="1" applyFill="1" applyBorder="1" applyAlignment="1" applyProtection="1">
      <alignment horizontal="center"/>
    </xf>
    <xf numFmtId="2" fontId="16" fillId="18" borderId="72" xfId="0" applyNumberFormat="1" applyFont="1" applyFill="1" applyBorder="1" applyAlignment="1" applyProtection="1">
      <alignment horizontal="center"/>
    </xf>
    <xf numFmtId="2" fontId="16" fillId="18" borderId="73" xfId="0" applyNumberFormat="1" applyFont="1" applyFill="1" applyBorder="1" applyAlignment="1" applyProtection="1">
      <alignment horizontal="center"/>
    </xf>
    <xf numFmtId="2" fontId="16" fillId="18" borderId="69" xfId="0" applyNumberFormat="1" applyFont="1" applyFill="1" applyBorder="1" applyAlignment="1" applyProtection="1">
      <alignment horizontal="center"/>
    </xf>
    <xf numFmtId="2" fontId="16" fillId="18" borderId="74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81" xfId="0" applyFont="1" applyBorder="1" applyAlignment="1" applyProtection="1">
      <alignment horizontal="left"/>
    </xf>
    <xf numFmtId="0" fontId="4" fillId="0" borderId="82" xfId="0" applyFont="1" applyBorder="1" applyAlignment="1" applyProtection="1">
      <alignment horizontal="left"/>
    </xf>
    <xf numFmtId="0" fontId="4" fillId="0" borderId="83" xfId="0" applyFont="1" applyBorder="1" applyAlignment="1" applyProtection="1">
      <alignment horizontal="left"/>
    </xf>
    <xf numFmtId="0" fontId="16" fillId="18" borderId="70" xfId="0" applyFont="1" applyFill="1" applyBorder="1" applyAlignment="1" applyProtection="1">
      <alignment horizontal="center"/>
    </xf>
    <xf numFmtId="0" fontId="16" fillId="18" borderId="71" xfId="0" applyFont="1" applyFill="1" applyBorder="1" applyAlignment="1" applyProtection="1">
      <alignment horizontal="center"/>
    </xf>
    <xf numFmtId="0" fontId="16" fillId="18" borderId="72" xfId="0" applyFont="1" applyFill="1" applyBorder="1" applyAlignment="1" applyProtection="1">
      <alignment horizontal="center"/>
    </xf>
    <xf numFmtId="0" fontId="16" fillId="18" borderId="73" xfId="0" applyFont="1" applyFill="1" applyBorder="1" applyAlignment="1" applyProtection="1">
      <alignment horizontal="center"/>
    </xf>
    <xf numFmtId="0" fontId="16" fillId="18" borderId="69" xfId="0" applyFont="1" applyFill="1" applyBorder="1" applyAlignment="1" applyProtection="1">
      <alignment horizontal="center"/>
    </xf>
    <xf numFmtId="0" fontId="16" fillId="18" borderId="74" xfId="0" applyFont="1" applyFill="1" applyBorder="1" applyAlignment="1" applyProtection="1">
      <alignment horizontal="center"/>
    </xf>
    <xf numFmtId="0" fontId="48" fillId="0" borderId="70" xfId="0" applyFont="1" applyBorder="1" applyAlignment="1" applyProtection="1">
      <alignment horizontal="right" vertical="center"/>
    </xf>
    <xf numFmtId="0" fontId="48" fillId="0" borderId="99" xfId="0" applyFont="1" applyBorder="1" applyAlignment="1" applyProtection="1">
      <alignment horizontal="right" vertical="center"/>
    </xf>
    <xf numFmtId="169" fontId="24" fillId="18" borderId="72" xfId="0" applyNumberFormat="1" applyFont="1" applyFill="1" applyBorder="1" applyAlignment="1" applyProtection="1">
      <alignment horizontal="center" vertical="center"/>
    </xf>
    <xf numFmtId="169" fontId="24" fillId="18" borderId="100" xfId="0" applyNumberFormat="1" applyFont="1" applyFill="1" applyBorder="1" applyAlignment="1" applyProtection="1">
      <alignment horizontal="center" vertical="center"/>
    </xf>
    <xf numFmtId="0" fontId="48" fillId="0" borderId="73" xfId="0" applyFont="1" applyBorder="1" applyAlignment="1" applyProtection="1">
      <alignment horizontal="right" vertical="center"/>
    </xf>
    <xf numFmtId="169" fontId="24" fillId="18" borderId="74" xfId="0" applyNumberFormat="1" applyFont="1" applyFill="1" applyBorder="1" applyAlignment="1" applyProtection="1">
      <alignment horizontal="center" vertical="center"/>
    </xf>
    <xf numFmtId="0" fontId="47" fillId="0" borderId="95" xfId="0" applyFont="1" applyBorder="1" applyAlignment="1" applyProtection="1">
      <alignment horizontal="center"/>
    </xf>
    <xf numFmtId="0" fontId="47" fillId="0" borderId="96" xfId="0" applyFont="1" applyBorder="1" applyAlignment="1" applyProtection="1">
      <alignment horizontal="center"/>
    </xf>
    <xf numFmtId="0" fontId="47" fillId="0" borderId="97" xfId="0" applyFont="1" applyBorder="1" applyAlignment="1" applyProtection="1">
      <alignment horizontal="center"/>
    </xf>
    <xf numFmtId="0" fontId="48" fillId="0" borderId="0" xfId="0" applyFont="1" applyAlignment="1" applyProtection="1">
      <alignment horizontal="center"/>
    </xf>
    <xf numFmtId="0" fontId="35" fillId="20" borderId="31" xfId="0" applyFont="1" applyFill="1" applyBorder="1" applyAlignment="1" applyProtection="1">
      <alignment horizontal="center"/>
    </xf>
    <xf numFmtId="0" fontId="35" fillId="20" borderId="32" xfId="0" applyFont="1" applyFill="1" applyBorder="1" applyAlignment="1" applyProtection="1">
      <alignment horizontal="center"/>
    </xf>
    <xf numFmtId="0" fontId="35" fillId="20" borderId="33" xfId="0" applyFont="1" applyFill="1" applyBorder="1" applyAlignment="1" applyProtection="1">
      <alignment horizontal="center"/>
    </xf>
    <xf numFmtId="0" fontId="46" fillId="0" borderId="87" xfId="0" applyFont="1" applyBorder="1" applyAlignment="1" applyProtection="1">
      <alignment horizontal="center"/>
    </xf>
    <xf numFmtId="0" fontId="46" fillId="0" borderId="88" xfId="0" applyFont="1" applyBorder="1" applyAlignment="1" applyProtection="1">
      <alignment horizontal="center"/>
    </xf>
    <xf numFmtId="0" fontId="46" fillId="0" borderId="89" xfId="0" applyFont="1" applyBorder="1" applyAlignment="1" applyProtection="1">
      <alignment horizontal="center"/>
    </xf>
    <xf numFmtId="0" fontId="47" fillId="0" borderId="90" xfId="0" applyFont="1" applyBorder="1" applyAlignment="1" applyProtection="1">
      <alignment horizontal="center"/>
    </xf>
    <xf numFmtId="0" fontId="47" fillId="0" borderId="0" xfId="0" applyFont="1" applyBorder="1" applyAlignment="1" applyProtection="1">
      <alignment horizontal="center"/>
    </xf>
    <xf numFmtId="0" fontId="47" fillId="0" borderId="91" xfId="0" applyFont="1" applyBorder="1" applyAlignment="1" applyProtection="1">
      <alignment horizontal="center"/>
    </xf>
    <xf numFmtId="0" fontId="46" fillId="0" borderId="87" xfId="0" applyFont="1" applyBorder="1" applyAlignment="1" applyProtection="1">
      <alignment horizontal="left" indent="1"/>
    </xf>
    <xf numFmtId="0" fontId="46" fillId="0" borderId="88" xfId="0" applyFont="1" applyBorder="1" applyAlignment="1" applyProtection="1">
      <alignment horizontal="left" indent="1"/>
    </xf>
    <xf numFmtId="0" fontId="46" fillId="0" borderId="89" xfId="0" applyFont="1" applyBorder="1" applyAlignment="1" applyProtection="1">
      <alignment horizontal="left" indent="1"/>
    </xf>
    <xf numFmtId="168" fontId="34" fillId="11" borderId="84" xfId="0" applyNumberFormat="1" applyFont="1" applyFill="1" applyBorder="1" applyAlignment="1" applyProtection="1">
      <alignment horizontal="center" vertical="center"/>
    </xf>
    <xf numFmtId="168" fontId="34" fillId="11" borderId="85" xfId="0" applyNumberFormat="1" applyFont="1" applyFill="1" applyBorder="1" applyAlignment="1" applyProtection="1">
      <alignment horizontal="center" vertical="center"/>
    </xf>
    <xf numFmtId="2" fontId="24" fillId="0" borderId="0" xfId="0" applyNumberFormat="1" applyFont="1" applyFill="1" applyBorder="1" applyAlignment="1" applyProtection="1">
      <alignment horizontal="left" vertical="center"/>
    </xf>
    <xf numFmtId="0" fontId="48" fillId="0" borderId="0" xfId="0" applyFont="1" applyAlignment="1" applyProtection="1">
      <alignment horizontal="right" vertical="center"/>
    </xf>
    <xf numFmtId="0" fontId="45" fillId="0" borderId="0" xfId="0" applyFont="1" applyBorder="1" applyAlignment="1" applyProtection="1">
      <alignment horizontal="left" vertical="top" wrapText="1"/>
    </xf>
    <xf numFmtId="0" fontId="24" fillId="0" borderId="87" xfId="0" applyFont="1" applyBorder="1" applyAlignment="1" applyProtection="1">
      <alignment horizontal="center" vertical="center"/>
    </xf>
    <xf numFmtId="0" fontId="24" fillId="0" borderId="88" xfId="0" applyFont="1" applyBorder="1" applyAlignment="1" applyProtection="1">
      <alignment horizontal="center" vertical="center"/>
    </xf>
    <xf numFmtId="0" fontId="24" fillId="0" borderId="89" xfId="0" applyFont="1" applyBorder="1" applyAlignment="1" applyProtection="1">
      <alignment horizontal="center" vertical="center"/>
    </xf>
    <xf numFmtId="0" fontId="24" fillId="0" borderId="95" xfId="0" applyFont="1" applyBorder="1" applyAlignment="1" applyProtection="1">
      <alignment horizontal="center" vertical="center"/>
    </xf>
    <xf numFmtId="0" fontId="24" fillId="0" borderId="96" xfId="0" applyFont="1" applyBorder="1" applyAlignment="1" applyProtection="1">
      <alignment horizontal="center" vertical="center"/>
    </xf>
    <xf numFmtId="0" fontId="24" fillId="0" borderId="97" xfId="0" applyFont="1" applyBorder="1" applyAlignment="1" applyProtection="1">
      <alignment horizontal="center" vertical="center"/>
    </xf>
    <xf numFmtId="0" fontId="45" fillId="11" borderId="0" xfId="0" applyFont="1" applyFill="1" applyBorder="1" applyAlignment="1" applyProtection="1">
      <alignment horizontal="left" vertical="top" wrapText="1" indent="1"/>
    </xf>
    <xf numFmtId="2" fontId="24" fillId="0" borderId="87" xfId="0" applyNumberFormat="1" applyFont="1" applyBorder="1" applyAlignment="1" applyProtection="1">
      <alignment horizontal="right" vertical="center"/>
    </xf>
    <xf numFmtId="2" fontId="24" fillId="0" borderId="95" xfId="0" applyNumberFormat="1" applyFont="1" applyBorder="1" applyAlignment="1" applyProtection="1">
      <alignment horizontal="right" vertical="center"/>
    </xf>
    <xf numFmtId="2" fontId="38" fillId="0" borderId="89" xfId="0" applyNumberFormat="1" applyFont="1" applyBorder="1" applyAlignment="1" applyProtection="1">
      <alignment horizontal="left" vertical="center"/>
    </xf>
    <xf numFmtId="2" fontId="38" fillId="0" borderId="97" xfId="0" applyNumberFormat="1" applyFont="1" applyBorder="1" applyAlignment="1" applyProtection="1">
      <alignment horizontal="left" vertical="center"/>
    </xf>
    <xf numFmtId="0" fontId="4" fillId="0" borderId="0" xfId="0" applyFont="1" applyBorder="1" applyAlignment="1" applyProtection="1">
      <alignment horizontal="left" vertical="top" wrapText="1"/>
    </xf>
    <xf numFmtId="0" fontId="6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5" fillId="17" borderId="31" xfId="0" applyFont="1" applyFill="1" applyBorder="1" applyAlignment="1">
      <alignment horizontal="center"/>
    </xf>
    <xf numFmtId="0" fontId="35" fillId="17" borderId="32" xfId="0" applyFont="1" applyFill="1" applyBorder="1" applyAlignment="1">
      <alignment horizontal="center"/>
    </xf>
    <xf numFmtId="0" fontId="35" fillId="17" borderId="33" xfId="0" applyFont="1" applyFill="1" applyBorder="1" applyAlignment="1">
      <alignment horizontal="center"/>
    </xf>
    <xf numFmtId="0" fontId="27" fillId="0" borderId="84" xfId="0" applyFont="1" applyBorder="1" applyAlignment="1">
      <alignment horizontal="center" vertical="center"/>
    </xf>
    <xf numFmtId="0" fontId="27" fillId="0" borderId="86" xfId="0" applyFont="1" applyBorder="1" applyAlignment="1">
      <alignment horizontal="center" vertical="center"/>
    </xf>
    <xf numFmtId="0" fontId="27" fillId="0" borderId="85" xfId="0" applyFont="1" applyBorder="1" applyAlignment="1">
      <alignment horizontal="center" vertical="center"/>
    </xf>
    <xf numFmtId="0" fontId="36" fillId="0" borderId="81" xfId="0" applyFont="1" applyBorder="1" applyAlignment="1">
      <alignment horizontal="left"/>
    </xf>
    <xf numFmtId="0" fontId="36" fillId="0" borderId="82" xfId="0" applyFont="1" applyBorder="1" applyAlignment="1">
      <alignment horizontal="left"/>
    </xf>
    <xf numFmtId="0" fontId="36" fillId="0" borderId="83" xfId="0" applyFont="1" applyBorder="1" applyAlignment="1">
      <alignment horizontal="left"/>
    </xf>
    <xf numFmtId="167" fontId="10" fillId="0" borderId="81" xfId="0" applyNumberFormat="1" applyFont="1" applyBorder="1" applyAlignment="1">
      <alignment horizontal="left"/>
    </xf>
    <xf numFmtId="167" fontId="10" fillId="0" borderId="82" xfId="0" applyNumberFormat="1" applyFont="1" applyBorder="1" applyAlignment="1">
      <alignment horizontal="left"/>
    </xf>
    <xf numFmtId="167" fontId="10" fillId="0" borderId="83" xfId="0" applyNumberFormat="1" applyFont="1" applyBorder="1" applyAlignment="1">
      <alignment horizontal="left"/>
    </xf>
    <xf numFmtId="0" fontId="2" fillId="26" borderId="0" xfId="0" applyFont="1" applyFill="1" applyAlignment="1">
      <alignment horizontal="center"/>
    </xf>
    <xf numFmtId="0" fontId="4" fillId="23" borderId="7" xfId="0" applyFont="1" applyFill="1" applyBorder="1" applyAlignment="1">
      <alignment horizontal="center"/>
    </xf>
    <xf numFmtId="0" fontId="4" fillId="23" borderId="5" xfId="0" applyFont="1" applyFill="1" applyBorder="1" applyAlignment="1">
      <alignment horizontal="center" vertical="center" textRotation="90"/>
    </xf>
    <xf numFmtId="0" fontId="4" fillId="21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55" fillId="38" borderId="0" xfId="0" applyFont="1" applyFill="1" applyAlignment="1">
      <alignment horizontal="center"/>
    </xf>
    <xf numFmtId="0" fontId="55" fillId="39" borderId="0" xfId="0" applyFont="1" applyFill="1" applyAlignment="1">
      <alignment horizontal="center"/>
    </xf>
    <xf numFmtId="0" fontId="4" fillId="0" borderId="0" xfId="0" applyFont="1" applyAlignment="1">
      <alignment horizontal="left"/>
    </xf>
    <xf numFmtId="0" fontId="4" fillId="32" borderId="0" xfId="0" applyFont="1" applyFill="1" applyAlignment="1">
      <alignment horizontal="center"/>
    </xf>
    <xf numFmtId="0" fontId="5" fillId="5" borderId="4" xfId="0" applyFont="1" applyFill="1" applyBorder="1" applyAlignment="1">
      <alignment horizontal="center"/>
    </xf>
    <xf numFmtId="0" fontId="5" fillId="5" borderId="0" xfId="0" applyFont="1" applyFill="1" applyBorder="1" applyAlignment="1">
      <alignment horizontal="center"/>
    </xf>
    <xf numFmtId="0" fontId="55" fillId="25" borderId="0" xfId="0" applyFont="1" applyFill="1" applyAlignment="1">
      <alignment horizontal="center"/>
    </xf>
    <xf numFmtId="165" fontId="3" fillId="13" borderId="77" xfId="0" applyNumberFormat="1" applyFont="1" applyFill="1" applyBorder="1" applyAlignment="1">
      <alignment horizontal="center"/>
    </xf>
    <xf numFmtId="165" fontId="3" fillId="13" borderId="78" xfId="0" applyNumberFormat="1" applyFont="1" applyFill="1" applyBorder="1" applyAlignment="1">
      <alignment horizontal="center"/>
    </xf>
    <xf numFmtId="165" fontId="3" fillId="13" borderId="79" xfId="0" applyNumberFormat="1" applyFont="1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63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2" fillId="0" borderId="92" xfId="0" applyFont="1" applyBorder="1" applyAlignment="1">
      <alignment horizontal="center"/>
    </xf>
    <xf numFmtId="0" fontId="2" fillId="0" borderId="76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94" xfId="0" applyBorder="1" applyAlignment="1">
      <alignment horizontal="center"/>
    </xf>
    <xf numFmtId="0" fontId="22" fillId="6" borderId="0" xfId="0" applyFont="1" applyFill="1" applyBorder="1" applyAlignment="1">
      <alignment horizontal="right" vertical="center"/>
    </xf>
    <xf numFmtId="0" fontId="23" fillId="6" borderId="0" xfId="0" applyFont="1" applyFill="1" applyBorder="1" applyAlignment="1">
      <alignment horizontal="center" vertical="center"/>
    </xf>
    <xf numFmtId="0" fontId="41" fillId="6" borderId="0" xfId="0" applyFont="1" applyFill="1" applyBorder="1" applyAlignment="1">
      <alignment horizontal="center" vertical="center"/>
    </xf>
    <xf numFmtId="0" fontId="19" fillId="6" borderId="7" xfId="0" applyFont="1" applyFill="1" applyBorder="1" applyAlignment="1">
      <alignment horizontal="center" vertical="center"/>
    </xf>
    <xf numFmtId="0" fontId="22" fillId="6" borderId="0" xfId="0" applyFont="1" applyFill="1" applyBorder="1" applyAlignment="1">
      <alignment horizontal="center" vertical="center"/>
    </xf>
    <xf numFmtId="0" fontId="12" fillId="4" borderId="34" xfId="0" applyFont="1" applyFill="1" applyBorder="1" applyAlignment="1">
      <alignment horizontal="center" vertical="center" wrapText="1"/>
    </xf>
    <xf numFmtId="0" fontId="12" fillId="4" borderId="35" xfId="0" applyFont="1" applyFill="1" applyBorder="1" applyAlignment="1">
      <alignment horizontal="center" vertical="center" wrapText="1"/>
    </xf>
    <xf numFmtId="0" fontId="12" fillId="4" borderId="22" xfId="0" applyFont="1" applyFill="1" applyBorder="1" applyAlignment="1">
      <alignment horizontal="center" vertical="center" wrapText="1"/>
    </xf>
    <xf numFmtId="0" fontId="28" fillId="4" borderId="34" xfId="0" applyFont="1" applyFill="1" applyBorder="1" applyAlignment="1">
      <alignment horizontal="center" vertical="center" wrapText="1"/>
    </xf>
    <xf numFmtId="0" fontId="28" fillId="4" borderId="35" xfId="0" applyFont="1" applyFill="1" applyBorder="1" applyAlignment="1">
      <alignment horizontal="center" vertical="center" wrapText="1"/>
    </xf>
    <xf numFmtId="0" fontId="28" fillId="4" borderId="22" xfId="0" applyFont="1" applyFill="1" applyBorder="1" applyAlignment="1">
      <alignment horizontal="center" vertical="center" wrapText="1"/>
    </xf>
    <xf numFmtId="0" fontId="2" fillId="0" borderId="34" xfId="0" applyFont="1" applyBorder="1" applyAlignment="1">
      <alignment horizontal="center" wrapText="1"/>
    </xf>
    <xf numFmtId="0" fontId="2" fillId="0" borderId="22" xfId="0" applyFont="1" applyBorder="1" applyAlignment="1">
      <alignment horizontal="center" wrapText="1"/>
    </xf>
    <xf numFmtId="0" fontId="2" fillId="0" borderId="14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1" fillId="17" borderId="0" xfId="0" applyFont="1" applyFill="1" applyAlignment="1">
      <alignment horizontal="center"/>
    </xf>
    <xf numFmtId="0" fontId="1" fillId="5" borderId="7" xfId="0" applyFont="1" applyFill="1" applyBorder="1" applyAlignment="1">
      <alignment horizontal="center"/>
    </xf>
  </cellXfs>
  <cellStyles count="3">
    <cellStyle name="Normal" xfId="0" builtinId="0"/>
    <cellStyle name="Normal 2" xfId="1"/>
    <cellStyle name="Porcentaje" xfId="2" builtinId="5"/>
  </cellStyles>
  <dxfs count="15"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C00000"/>
      </font>
    </dxf>
    <dxf>
      <font>
        <color rgb="FFC00000"/>
      </font>
      <fill>
        <patternFill>
          <bgColor theme="0"/>
        </patternFill>
      </fill>
    </dxf>
    <dxf>
      <fill>
        <patternFill patternType="solid">
          <bgColor theme="0" tint="-0.14996795556505021"/>
        </patternFill>
      </fill>
      <border>
        <left/>
        <right/>
        <top/>
        <bottom/>
        <vertical/>
        <horizontal/>
      </border>
    </dxf>
    <dxf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solid"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solid"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color theme="0" tint="-0.14996795556505021"/>
      </font>
      <fill>
        <patternFill patternType="solid"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color theme="0" tint="-0.14996795556505021"/>
      </font>
      <fill>
        <patternFill patternType="solid">
          <bgColor theme="0" tint="-0.14996795556505021"/>
        </patternFill>
      </fill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D29C0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jpeg"/><Relationship Id="rId4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13" Type="http://schemas.openxmlformats.org/officeDocument/2006/relationships/image" Target="../media/image25.jpe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12" Type="http://schemas.openxmlformats.org/officeDocument/2006/relationships/image" Target="../media/image24.jpeg"/><Relationship Id="rId2" Type="http://schemas.openxmlformats.org/officeDocument/2006/relationships/image" Target="../media/image14.png"/><Relationship Id="rId16" Type="http://schemas.openxmlformats.org/officeDocument/2006/relationships/image" Target="../media/image28.jpe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11" Type="http://schemas.openxmlformats.org/officeDocument/2006/relationships/image" Target="../media/image23.jpeg"/><Relationship Id="rId5" Type="http://schemas.openxmlformats.org/officeDocument/2006/relationships/image" Target="../media/image17.png"/><Relationship Id="rId15" Type="http://schemas.openxmlformats.org/officeDocument/2006/relationships/image" Target="../media/image27.jpeg"/><Relationship Id="rId10" Type="http://schemas.openxmlformats.org/officeDocument/2006/relationships/image" Target="../media/image22.jpeg"/><Relationship Id="rId4" Type="http://schemas.openxmlformats.org/officeDocument/2006/relationships/image" Target="../media/image16.png"/><Relationship Id="rId9" Type="http://schemas.openxmlformats.org/officeDocument/2006/relationships/image" Target="../media/image21.jpeg"/><Relationship Id="rId14" Type="http://schemas.openxmlformats.org/officeDocument/2006/relationships/image" Target="../media/image26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19</xdr:row>
      <xdr:rowOff>1</xdr:rowOff>
    </xdr:from>
    <xdr:to>
      <xdr:col>14</xdr:col>
      <xdr:colOff>73269</xdr:colOff>
      <xdr:row>34</xdr:row>
      <xdr:rowOff>38832</xdr:rowOff>
    </xdr:to>
    <xdr:pic>
      <xdr:nvPicPr>
        <xdr:cNvPr id="7" name="6 Imagen" descr="MODELOVENTANA2.bmp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308" y="2769578"/>
          <a:ext cx="2784230" cy="2749794"/>
        </a:xfrm>
        <a:prstGeom prst="rect">
          <a:avLst/>
        </a:prstGeom>
      </xdr:spPr>
    </xdr:pic>
    <xdr:clientData/>
  </xdr:twoCellAnchor>
  <xdr:twoCellAnchor>
    <xdr:from>
      <xdr:col>2</xdr:col>
      <xdr:colOff>551656</xdr:colOff>
      <xdr:row>19</xdr:row>
      <xdr:rowOff>795</xdr:rowOff>
    </xdr:from>
    <xdr:to>
      <xdr:col>3</xdr:col>
      <xdr:colOff>794</xdr:colOff>
      <xdr:row>34</xdr:row>
      <xdr:rowOff>794</xdr:rowOff>
    </xdr:to>
    <xdr:cxnSp macro="">
      <xdr:nvCxnSpPr>
        <xdr:cNvPr id="11" name="10 Conector recto de flecha"/>
        <xdr:cNvCxnSpPr/>
      </xdr:nvCxnSpPr>
      <xdr:spPr>
        <a:xfrm rot="5400000">
          <a:off x="5643563" y="3519488"/>
          <a:ext cx="2733674" cy="1588"/>
        </a:xfrm>
        <a:prstGeom prst="straightConnector1">
          <a:avLst/>
        </a:prstGeom>
        <a:ln>
          <a:headEnd type="stealth"/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9525</xdr:colOff>
      <xdr:row>19</xdr:row>
      <xdr:rowOff>0</xdr:rowOff>
    </xdr:from>
    <xdr:to>
      <xdr:col>4</xdr:col>
      <xdr:colOff>0</xdr:colOff>
      <xdr:row>19</xdr:row>
      <xdr:rowOff>1588</xdr:rowOff>
    </xdr:to>
    <xdr:cxnSp macro="">
      <xdr:nvCxnSpPr>
        <xdr:cNvPr id="15" name="14 Conector recto"/>
        <xdr:cNvCxnSpPr/>
      </xdr:nvCxnSpPr>
      <xdr:spPr>
        <a:xfrm>
          <a:off x="6886575" y="2162175"/>
          <a:ext cx="276225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163431</xdr:colOff>
      <xdr:row>34</xdr:row>
      <xdr:rowOff>794</xdr:rowOff>
    </xdr:from>
    <xdr:to>
      <xdr:col>4</xdr:col>
      <xdr:colOff>795</xdr:colOff>
      <xdr:row>35</xdr:row>
      <xdr:rowOff>795</xdr:rowOff>
    </xdr:to>
    <xdr:cxnSp macro="">
      <xdr:nvCxnSpPr>
        <xdr:cNvPr id="17" name="16 Conector recto"/>
        <xdr:cNvCxnSpPr/>
      </xdr:nvCxnSpPr>
      <xdr:spPr>
        <a:xfrm rot="5400000" flipH="1" flipV="1">
          <a:off x="7110905" y="4969423"/>
          <a:ext cx="164225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33</xdr:row>
      <xdr:rowOff>137948</xdr:rowOff>
    </xdr:from>
    <xdr:to>
      <xdr:col>7</xdr:col>
      <xdr:colOff>0</xdr:colOff>
      <xdr:row>34</xdr:row>
      <xdr:rowOff>164224</xdr:rowOff>
    </xdr:to>
    <xdr:cxnSp macro="">
      <xdr:nvCxnSpPr>
        <xdr:cNvPr id="20" name="19 Conector recto"/>
        <xdr:cNvCxnSpPr/>
      </xdr:nvCxnSpPr>
      <xdr:spPr>
        <a:xfrm rot="5400000" flipH="1" flipV="1">
          <a:off x="7702906" y="4955490"/>
          <a:ext cx="1905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466603</xdr:colOff>
      <xdr:row>33</xdr:row>
      <xdr:rowOff>134916</xdr:rowOff>
    </xdr:from>
    <xdr:to>
      <xdr:col>11</xdr:col>
      <xdr:colOff>468923</xdr:colOff>
      <xdr:row>34</xdr:row>
      <xdr:rowOff>161192</xdr:rowOff>
    </xdr:to>
    <xdr:cxnSp macro="">
      <xdr:nvCxnSpPr>
        <xdr:cNvPr id="21" name="20 Conector recto"/>
        <xdr:cNvCxnSpPr/>
      </xdr:nvCxnSpPr>
      <xdr:spPr>
        <a:xfrm rot="5400000" flipH="1" flipV="1">
          <a:off x="2718644" y="5576144"/>
          <a:ext cx="187468" cy="23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34</xdr:row>
      <xdr:rowOff>0</xdr:rowOff>
    </xdr:from>
    <xdr:to>
      <xdr:col>15</xdr:col>
      <xdr:colOff>2</xdr:colOff>
      <xdr:row>34</xdr:row>
      <xdr:rowOff>164224</xdr:rowOff>
    </xdr:to>
    <xdr:cxnSp macro="">
      <xdr:nvCxnSpPr>
        <xdr:cNvPr id="22" name="21 Conector recto"/>
        <xdr:cNvCxnSpPr/>
      </xdr:nvCxnSpPr>
      <xdr:spPr>
        <a:xfrm rot="5400000" flipH="1" flipV="1">
          <a:off x="9810751" y="4969421"/>
          <a:ext cx="164224" cy="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468923</xdr:colOff>
      <xdr:row>34</xdr:row>
      <xdr:rowOff>161192</xdr:rowOff>
    </xdr:from>
    <xdr:to>
      <xdr:col>15</xdr:col>
      <xdr:colOff>0</xdr:colOff>
      <xdr:row>35</xdr:row>
      <xdr:rowOff>3032</xdr:rowOff>
    </xdr:to>
    <xdr:cxnSp macro="">
      <xdr:nvCxnSpPr>
        <xdr:cNvPr id="26" name="25 Conector recto de flecha"/>
        <xdr:cNvCxnSpPr/>
      </xdr:nvCxnSpPr>
      <xdr:spPr>
        <a:xfrm>
          <a:off x="2813538" y="5671038"/>
          <a:ext cx="688731" cy="3032"/>
        </a:xfrm>
        <a:prstGeom prst="straightConnector1">
          <a:avLst/>
        </a:prstGeom>
        <a:ln>
          <a:headEnd type="stealth"/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17</xdr:row>
      <xdr:rowOff>246890</xdr:rowOff>
    </xdr:from>
    <xdr:to>
      <xdr:col>15</xdr:col>
      <xdr:colOff>0</xdr:colOff>
      <xdr:row>18</xdr:row>
      <xdr:rowOff>0</xdr:rowOff>
    </xdr:to>
    <xdr:cxnSp macro="">
      <xdr:nvCxnSpPr>
        <xdr:cNvPr id="27" name="26 Conector recto de flecha"/>
        <xdr:cNvCxnSpPr/>
      </xdr:nvCxnSpPr>
      <xdr:spPr>
        <a:xfrm>
          <a:off x="7189304" y="1986238"/>
          <a:ext cx="2691848" cy="1588"/>
        </a:xfrm>
        <a:prstGeom prst="straightConnector1">
          <a:avLst/>
        </a:prstGeom>
        <a:ln>
          <a:headEnd type="stealth"/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22</xdr:row>
      <xdr:rowOff>116653</xdr:rowOff>
    </xdr:from>
    <xdr:to>
      <xdr:col>16</xdr:col>
      <xdr:colOff>0</xdr:colOff>
      <xdr:row>22</xdr:row>
      <xdr:rowOff>118241</xdr:rowOff>
    </xdr:to>
    <xdr:cxnSp macro="">
      <xdr:nvCxnSpPr>
        <xdr:cNvPr id="29" name="28 Conector recto"/>
        <xdr:cNvCxnSpPr/>
      </xdr:nvCxnSpPr>
      <xdr:spPr>
        <a:xfrm>
          <a:off x="9873155" y="2763946"/>
          <a:ext cx="164224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115764</xdr:colOff>
      <xdr:row>31</xdr:row>
      <xdr:rowOff>0</xdr:rowOff>
    </xdr:from>
    <xdr:to>
      <xdr:col>16</xdr:col>
      <xdr:colOff>0</xdr:colOff>
      <xdr:row>31</xdr:row>
      <xdr:rowOff>3054</xdr:rowOff>
    </xdr:to>
    <xdr:cxnSp macro="">
      <xdr:nvCxnSpPr>
        <xdr:cNvPr id="30" name="29 Conector recto"/>
        <xdr:cNvCxnSpPr/>
      </xdr:nvCxnSpPr>
      <xdr:spPr>
        <a:xfrm>
          <a:off x="9844402" y="4282966"/>
          <a:ext cx="192977" cy="305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163430</xdr:colOff>
      <xdr:row>19</xdr:row>
      <xdr:rowOff>794</xdr:rowOff>
    </xdr:from>
    <xdr:to>
      <xdr:col>16</xdr:col>
      <xdr:colOff>794</xdr:colOff>
      <xdr:row>22</xdr:row>
      <xdr:rowOff>120122</xdr:rowOff>
    </xdr:to>
    <xdr:cxnSp macro="">
      <xdr:nvCxnSpPr>
        <xdr:cNvPr id="31" name="30 Conector recto de flecha"/>
        <xdr:cNvCxnSpPr/>
      </xdr:nvCxnSpPr>
      <xdr:spPr>
        <a:xfrm rot="5400000" flipH="1" flipV="1">
          <a:off x="9731379" y="2460621"/>
          <a:ext cx="612000" cy="1588"/>
        </a:xfrm>
        <a:prstGeom prst="straightConnector1">
          <a:avLst/>
        </a:prstGeom>
        <a:ln>
          <a:headEnd type="stealth"/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19</xdr:row>
      <xdr:rowOff>0</xdr:rowOff>
    </xdr:from>
    <xdr:to>
      <xdr:col>16</xdr:col>
      <xdr:colOff>0</xdr:colOff>
      <xdr:row>19</xdr:row>
      <xdr:rowOff>1588</xdr:rowOff>
    </xdr:to>
    <xdr:cxnSp macro="">
      <xdr:nvCxnSpPr>
        <xdr:cNvPr id="35" name="34 Conector recto"/>
        <xdr:cNvCxnSpPr/>
      </xdr:nvCxnSpPr>
      <xdr:spPr>
        <a:xfrm>
          <a:off x="11191875" y="2162175"/>
          <a:ext cx="161925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34</xdr:row>
      <xdr:rowOff>0</xdr:rowOff>
    </xdr:from>
    <xdr:to>
      <xdr:col>16</xdr:col>
      <xdr:colOff>0</xdr:colOff>
      <xdr:row>34</xdr:row>
      <xdr:rowOff>1588</xdr:rowOff>
    </xdr:to>
    <xdr:cxnSp macro="">
      <xdr:nvCxnSpPr>
        <xdr:cNvPr id="36" name="35 Conector recto"/>
        <xdr:cNvCxnSpPr/>
      </xdr:nvCxnSpPr>
      <xdr:spPr>
        <a:xfrm>
          <a:off x="9873155" y="4887310"/>
          <a:ext cx="164224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31</xdr:row>
      <xdr:rowOff>2</xdr:rowOff>
    </xdr:from>
    <xdr:to>
      <xdr:col>16</xdr:col>
      <xdr:colOff>1</xdr:colOff>
      <xdr:row>34</xdr:row>
      <xdr:rowOff>1</xdr:rowOff>
    </xdr:to>
    <xdr:cxnSp macro="">
      <xdr:nvCxnSpPr>
        <xdr:cNvPr id="37" name="36 Conector recto de flecha"/>
        <xdr:cNvCxnSpPr/>
      </xdr:nvCxnSpPr>
      <xdr:spPr>
        <a:xfrm rot="5400000" flipH="1" flipV="1">
          <a:off x="9735208" y="4585139"/>
          <a:ext cx="604343" cy="1"/>
        </a:xfrm>
        <a:prstGeom prst="straightConnector1">
          <a:avLst/>
        </a:prstGeom>
        <a:ln>
          <a:headEnd type="stealth"/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18</xdr:row>
      <xdr:rowOff>0</xdr:rowOff>
    </xdr:from>
    <xdr:to>
      <xdr:col>4</xdr:col>
      <xdr:colOff>793</xdr:colOff>
      <xdr:row>19</xdr:row>
      <xdr:rowOff>27780</xdr:rowOff>
    </xdr:to>
    <xdr:cxnSp macro="">
      <xdr:nvCxnSpPr>
        <xdr:cNvPr id="79" name="78 Conector recto"/>
        <xdr:cNvCxnSpPr/>
      </xdr:nvCxnSpPr>
      <xdr:spPr>
        <a:xfrm rot="5400000" flipH="1" flipV="1">
          <a:off x="7077869" y="2094706"/>
          <a:ext cx="189705" cy="79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160338</xdr:colOff>
      <xdr:row>17</xdr:row>
      <xdr:rowOff>219076</xdr:rowOff>
    </xdr:from>
    <xdr:to>
      <xdr:col>15</xdr:col>
      <xdr:colOff>0</xdr:colOff>
      <xdr:row>19</xdr:row>
      <xdr:rowOff>0</xdr:rowOff>
    </xdr:to>
    <xdr:cxnSp macro="">
      <xdr:nvCxnSpPr>
        <xdr:cNvPr id="80" name="79 Conector recto"/>
        <xdr:cNvCxnSpPr/>
      </xdr:nvCxnSpPr>
      <xdr:spPr>
        <a:xfrm rot="5400000" flipH="1" flipV="1">
          <a:off x="11095832" y="2066132"/>
          <a:ext cx="190499" cy="158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</xdr:colOff>
      <xdr:row>22</xdr:row>
      <xdr:rowOff>115420</xdr:rowOff>
    </xdr:from>
    <xdr:to>
      <xdr:col>16</xdr:col>
      <xdr:colOff>1589</xdr:colOff>
      <xdr:row>31</xdr:row>
      <xdr:rowOff>0</xdr:rowOff>
    </xdr:to>
    <xdr:cxnSp macro="">
      <xdr:nvCxnSpPr>
        <xdr:cNvPr id="28" name="27 Conector recto de flecha"/>
        <xdr:cNvCxnSpPr/>
      </xdr:nvCxnSpPr>
      <xdr:spPr>
        <a:xfrm rot="5400000" flipH="1" flipV="1">
          <a:off x="9278047" y="3522046"/>
          <a:ext cx="1520253" cy="1588"/>
        </a:xfrm>
        <a:prstGeom prst="straightConnector1">
          <a:avLst/>
        </a:prstGeom>
        <a:ln>
          <a:headEnd type="stealth"/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34</xdr:row>
      <xdr:rowOff>161192</xdr:rowOff>
    </xdr:from>
    <xdr:to>
      <xdr:col>11</xdr:col>
      <xdr:colOff>468923</xdr:colOff>
      <xdr:row>35</xdr:row>
      <xdr:rowOff>3032</xdr:rowOff>
    </xdr:to>
    <xdr:cxnSp macro="">
      <xdr:nvCxnSpPr>
        <xdr:cNvPr id="33" name="32 Conector recto de flecha"/>
        <xdr:cNvCxnSpPr/>
      </xdr:nvCxnSpPr>
      <xdr:spPr>
        <a:xfrm flipV="1">
          <a:off x="1406769" y="5671038"/>
          <a:ext cx="1406769" cy="3032"/>
        </a:xfrm>
        <a:prstGeom prst="straightConnector1">
          <a:avLst/>
        </a:prstGeom>
        <a:ln>
          <a:headEnd type="stealth"/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34</xdr:row>
      <xdr:rowOff>0</xdr:rowOff>
    </xdr:from>
    <xdr:to>
      <xdr:col>4</xdr:col>
      <xdr:colOff>0</xdr:colOff>
      <xdr:row>34</xdr:row>
      <xdr:rowOff>1588</xdr:rowOff>
    </xdr:to>
    <xdr:cxnSp macro="">
      <xdr:nvCxnSpPr>
        <xdr:cNvPr id="32" name="31 Conector recto"/>
        <xdr:cNvCxnSpPr/>
      </xdr:nvCxnSpPr>
      <xdr:spPr>
        <a:xfrm>
          <a:off x="615462" y="5531827"/>
          <a:ext cx="161192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35</xdr:row>
      <xdr:rowOff>0</xdr:rowOff>
    </xdr:from>
    <xdr:to>
      <xdr:col>6</xdr:col>
      <xdr:colOff>66261</xdr:colOff>
      <xdr:row>35</xdr:row>
      <xdr:rowOff>2</xdr:rowOff>
    </xdr:to>
    <xdr:cxnSp macro="">
      <xdr:nvCxnSpPr>
        <xdr:cNvPr id="34" name="33 Conector recto de flecha"/>
        <xdr:cNvCxnSpPr/>
      </xdr:nvCxnSpPr>
      <xdr:spPr>
        <a:xfrm flipV="1">
          <a:off x="7098196" y="5044109"/>
          <a:ext cx="604630" cy="2"/>
        </a:xfrm>
        <a:prstGeom prst="straightConnector1">
          <a:avLst/>
        </a:prstGeom>
        <a:ln>
          <a:headEnd type="stealth"/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27</xdr:row>
      <xdr:rowOff>0</xdr:rowOff>
    </xdr:from>
    <xdr:to>
      <xdr:col>2</xdr:col>
      <xdr:colOff>0</xdr:colOff>
      <xdr:row>34</xdr:row>
      <xdr:rowOff>30633</xdr:rowOff>
    </xdr:to>
    <xdr:pic>
      <xdr:nvPicPr>
        <xdr:cNvPr id="2" name="1 Imagen" descr="VIDRIO DOBL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150" y="5000625"/>
          <a:ext cx="1181100" cy="1211733"/>
        </a:xfrm>
        <a:prstGeom prst="rect">
          <a:avLst/>
        </a:prstGeom>
        <a:ln w="3175" cmpd="sng">
          <a:solidFill>
            <a:sysClr val="windowText" lastClr="000000"/>
          </a:solidFill>
        </a:ln>
        <a:effectLst/>
      </xdr:spPr>
    </xdr:pic>
    <xdr:clientData/>
  </xdr:twoCellAnchor>
  <xdr:twoCellAnchor>
    <xdr:from>
      <xdr:col>2</xdr:col>
      <xdr:colOff>20516</xdr:colOff>
      <xdr:row>44</xdr:row>
      <xdr:rowOff>95250</xdr:rowOff>
    </xdr:from>
    <xdr:to>
      <xdr:col>7</xdr:col>
      <xdr:colOff>1041439</xdr:colOff>
      <xdr:row>44</xdr:row>
      <xdr:rowOff>95251</xdr:rowOff>
    </xdr:to>
    <xdr:cxnSp macro="">
      <xdr:nvCxnSpPr>
        <xdr:cNvPr id="3" name="2 Conector recto"/>
        <xdr:cNvCxnSpPr/>
      </xdr:nvCxnSpPr>
      <xdr:spPr>
        <a:xfrm flipV="1">
          <a:off x="1280747" y="8074269"/>
          <a:ext cx="3600000" cy="1"/>
        </a:xfrm>
        <a:prstGeom prst="line">
          <a:avLst/>
        </a:prstGeom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1054683</xdr:colOff>
      <xdr:row>44</xdr:row>
      <xdr:rowOff>0</xdr:rowOff>
    </xdr:from>
    <xdr:to>
      <xdr:col>8</xdr:col>
      <xdr:colOff>36634</xdr:colOff>
      <xdr:row>45</xdr:row>
      <xdr:rowOff>61907</xdr:rowOff>
    </xdr:to>
    <xdr:sp macro="" textlink="">
      <xdr:nvSpPr>
        <xdr:cNvPr id="4" name="3 Igual que"/>
        <xdr:cNvSpPr/>
      </xdr:nvSpPr>
      <xdr:spPr>
        <a:xfrm>
          <a:off x="4893991" y="7979019"/>
          <a:ext cx="183566" cy="186465"/>
        </a:xfrm>
        <a:prstGeom prst="mathEqual">
          <a:avLst>
            <a:gd name="adj1" fmla="val 16699"/>
            <a:gd name="adj2" fmla="val 15935"/>
          </a:avLst>
        </a:prstGeom>
        <a:ln w="3175"/>
        <a:effectLst/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ES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1079989</xdr:colOff>
      <xdr:row>48</xdr:row>
      <xdr:rowOff>76201</xdr:rowOff>
    </xdr:from>
    <xdr:to>
      <xdr:col>4</xdr:col>
      <xdr:colOff>49091</xdr:colOff>
      <xdr:row>49</xdr:row>
      <xdr:rowOff>190501</xdr:rowOff>
    </xdr:to>
    <xdr:sp macro="" textlink="">
      <xdr:nvSpPr>
        <xdr:cNvPr id="5" name="4 CuadroTexto"/>
        <xdr:cNvSpPr txBox="1"/>
      </xdr:nvSpPr>
      <xdr:spPr>
        <a:xfrm>
          <a:off x="2375389" y="8686801"/>
          <a:ext cx="150202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400">
              <a:latin typeface="+mn-lt"/>
            </a:rPr>
            <a:t>≥</a:t>
          </a:r>
        </a:p>
      </xdr:txBody>
    </xdr:sp>
    <xdr:clientData/>
  </xdr:twoCellAnchor>
  <xdr:twoCellAnchor>
    <xdr:from>
      <xdr:col>3</xdr:col>
      <xdr:colOff>1083652</xdr:colOff>
      <xdr:row>50</xdr:row>
      <xdr:rowOff>83526</xdr:rowOff>
    </xdr:from>
    <xdr:to>
      <xdr:col>4</xdr:col>
      <xdr:colOff>52754</xdr:colOff>
      <xdr:row>52</xdr:row>
      <xdr:rowOff>0</xdr:rowOff>
    </xdr:to>
    <xdr:sp macro="" textlink="">
      <xdr:nvSpPr>
        <xdr:cNvPr id="8" name="7 CuadroTexto"/>
        <xdr:cNvSpPr txBox="1"/>
      </xdr:nvSpPr>
      <xdr:spPr>
        <a:xfrm>
          <a:off x="2379052" y="9037026"/>
          <a:ext cx="150202" cy="2593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400">
              <a:latin typeface="+mn-lt"/>
            </a:rPr>
            <a:t>≥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15</xdr:row>
          <xdr:rowOff>0</xdr:rowOff>
        </xdr:from>
        <xdr:to>
          <xdr:col>8</xdr:col>
          <xdr:colOff>0</xdr:colOff>
          <xdr:row>17</xdr:row>
          <xdr:rowOff>180975</xdr:rowOff>
        </xdr:to>
        <xdr:pic>
          <xdr:nvPicPr>
            <xdr:cNvPr id="4097" name="Picture 1"/>
            <xdr:cNvPicPr>
              <a:picLocks noChangeAspect="1" noChangeArrowheads="1"/>
              <a:extLst>
                <a:ext uri="{84589F7E-364E-4C9E-8A38-B11213B215E9}">
                  <a14:cameraTool cellRange="'SERIES SIN'!$A$4:$J$6" spid="_x0000_s4139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209675" y="2628900"/>
              <a:ext cx="3400425" cy="523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</xdr:row>
          <xdr:rowOff>114300</xdr:rowOff>
        </xdr:from>
        <xdr:to>
          <xdr:col>3</xdr:col>
          <xdr:colOff>428625</xdr:colOff>
          <xdr:row>26</xdr:row>
          <xdr:rowOff>38100</xdr:rowOff>
        </xdr:to>
        <xdr:pic>
          <xdr:nvPicPr>
            <xdr:cNvPr id="4098" name="Picture 2"/>
            <xdr:cNvPicPr>
              <a:picLocks noChangeAspect="1" noChangeArrowheads="1"/>
              <a:extLst>
                <a:ext uri="{84589F7E-364E-4C9E-8A38-B11213B215E9}">
                  <a14:cameraTool cellRange="Imagen" spid="_x0000_s4140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57150" y="2590800"/>
              <a:ext cx="1666875" cy="215265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808080" mc:Ignorable="a14" a14:legacySpreadsheetColorIndex="23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1114425</xdr:colOff>
          <xdr:row>37</xdr:row>
          <xdr:rowOff>104775</xdr:rowOff>
        </xdr:from>
        <xdr:to>
          <xdr:col>10</xdr:col>
          <xdr:colOff>0</xdr:colOff>
          <xdr:row>40</xdr:row>
          <xdr:rowOff>57150</xdr:rowOff>
        </xdr:to>
        <xdr:pic>
          <xdr:nvPicPr>
            <xdr:cNvPr id="4099" name="Picture 3"/>
            <xdr:cNvPicPr>
              <a:picLocks noChangeAspect="1" noChangeArrowheads="1"/>
              <a:extLst>
                <a:ext uri="{84589F7E-364E-4C9E-8A38-B11213B215E9}">
                  <a14:cameraTool cellRange="'TABLAS U'!L62:P64" spid="_x0000_s4141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3457575" y="6686550"/>
              <a:ext cx="2305050" cy="3524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</xdr:row>
          <xdr:rowOff>0</xdr:rowOff>
        </xdr:from>
        <xdr:to>
          <xdr:col>11</xdr:col>
          <xdr:colOff>542925</xdr:colOff>
          <xdr:row>19</xdr:row>
          <xdr:rowOff>9525</xdr:rowOff>
        </xdr:to>
        <xdr:pic>
          <xdr:nvPicPr>
            <xdr:cNvPr id="2060" name="Picture 12"/>
            <xdr:cNvPicPr>
              <a:picLocks noChangeAspect="1" noChangeArrowheads="1"/>
              <a:extLst>
                <a:ext uri="{84589F7E-364E-4C9E-8A38-B11213B215E9}">
                  <a14:cameraTool cellRange="Imagen3" spid="_x0000_s207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809750" y="847725"/>
              <a:ext cx="3171825" cy="215265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3175">
              <a:solidFill>
                <a:srgbClr val="808080" mc:Ignorable="a14" a14:legacySpreadsheetColorIndex="23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637145</xdr:colOff>
      <xdr:row>43</xdr:row>
      <xdr:rowOff>10027</xdr:rowOff>
    </xdr:from>
    <xdr:to>
      <xdr:col>12</xdr:col>
      <xdr:colOff>0</xdr:colOff>
      <xdr:row>44</xdr:row>
      <xdr:rowOff>0</xdr:rowOff>
    </xdr:to>
    <xdr:sp macro="" textlink="">
      <xdr:nvSpPr>
        <xdr:cNvPr id="3" name="2 Rectángulo"/>
        <xdr:cNvSpPr/>
      </xdr:nvSpPr>
      <xdr:spPr>
        <a:xfrm>
          <a:off x="5154000" y="6842961"/>
          <a:ext cx="180000" cy="180473"/>
        </a:xfrm>
        <a:prstGeom prst="rect">
          <a:avLst/>
        </a:prstGeom>
        <a:solidFill>
          <a:schemeClr val="bg1">
            <a:lumMod val="50000"/>
          </a:schemeClr>
        </a:solidFill>
        <a:ln w="12700">
          <a:solidFill>
            <a:schemeClr val="bg1">
              <a:lumMod val="6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ES" sz="900"/>
            <a:t>3</a:t>
          </a:r>
        </a:p>
      </xdr:txBody>
    </xdr:sp>
    <xdr:clientData/>
  </xdr:twoCellAnchor>
  <xdr:twoCellAnchor editAs="absolute">
    <xdr:from>
      <xdr:col>7</xdr:col>
      <xdr:colOff>640615</xdr:colOff>
      <xdr:row>43</xdr:row>
      <xdr:rowOff>0</xdr:rowOff>
    </xdr:from>
    <xdr:to>
      <xdr:col>8</xdr:col>
      <xdr:colOff>0</xdr:colOff>
      <xdr:row>43</xdr:row>
      <xdr:rowOff>180473</xdr:rowOff>
    </xdr:to>
    <xdr:sp macro="" textlink="">
      <xdr:nvSpPr>
        <xdr:cNvPr id="4" name="3 Rectángulo"/>
        <xdr:cNvSpPr/>
      </xdr:nvSpPr>
      <xdr:spPr>
        <a:xfrm>
          <a:off x="3343334" y="6846094"/>
          <a:ext cx="180916" cy="180473"/>
        </a:xfrm>
        <a:prstGeom prst="rect">
          <a:avLst/>
        </a:prstGeom>
        <a:solidFill>
          <a:schemeClr val="bg1">
            <a:lumMod val="50000"/>
          </a:schemeClr>
        </a:solidFill>
        <a:ln w="12700">
          <a:solidFill>
            <a:schemeClr val="bg1">
              <a:lumMod val="6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ES" sz="900"/>
            <a:t>2</a:t>
          </a:r>
        </a:p>
      </xdr:txBody>
    </xdr:sp>
    <xdr:clientData/>
  </xdr:twoCellAnchor>
  <xdr:twoCellAnchor editAs="absolute">
    <xdr:from>
      <xdr:col>3</xdr:col>
      <xdr:colOff>640616</xdr:colOff>
      <xdr:row>43</xdr:row>
      <xdr:rowOff>10027</xdr:rowOff>
    </xdr:from>
    <xdr:to>
      <xdr:col>4</xdr:col>
      <xdr:colOff>0</xdr:colOff>
      <xdr:row>44</xdr:row>
      <xdr:rowOff>0</xdr:rowOff>
    </xdr:to>
    <xdr:sp macro="" textlink="">
      <xdr:nvSpPr>
        <xdr:cNvPr id="5" name="4 Rectángulo"/>
        <xdr:cNvSpPr/>
      </xdr:nvSpPr>
      <xdr:spPr>
        <a:xfrm>
          <a:off x="1574066" y="6715627"/>
          <a:ext cx="178534" cy="180473"/>
        </a:xfrm>
        <a:prstGeom prst="rect">
          <a:avLst/>
        </a:prstGeom>
        <a:solidFill>
          <a:schemeClr val="bg1">
            <a:lumMod val="50000"/>
          </a:schemeClr>
        </a:solidFill>
        <a:ln w="12700">
          <a:solidFill>
            <a:schemeClr val="bg1">
              <a:lumMod val="6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ES" sz="900"/>
            <a:t>1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5</xdr:row>
          <xdr:rowOff>0</xdr:rowOff>
        </xdr:from>
        <xdr:to>
          <xdr:col>15</xdr:col>
          <xdr:colOff>533400</xdr:colOff>
          <xdr:row>19</xdr:row>
          <xdr:rowOff>85725</xdr:rowOff>
        </xdr:to>
        <xdr:pic>
          <xdr:nvPicPr>
            <xdr:cNvPr id="3074" name="Picture 2"/>
            <xdr:cNvPicPr>
              <a:picLocks noChangeAspect="1" noChangeArrowheads="1"/>
              <a:extLst>
                <a:ext uri="{84589F7E-364E-4C9E-8A38-B11213B215E9}">
                  <a14:cameraTool cellRange="Imagen4" spid="_x0000_s308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3552825" y="847725"/>
              <a:ext cx="3171825" cy="215265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3175">
              <a:solidFill>
                <a:srgbClr val="808080" mc:Ignorable="a14" a14:legacySpreadsheetColorIndex="23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38100</xdr:rowOff>
    </xdr:from>
    <xdr:to>
      <xdr:col>1</xdr:col>
      <xdr:colOff>1486046</xdr:colOff>
      <xdr:row>1</xdr:row>
      <xdr:rowOff>2018100</xdr:rowOff>
    </xdr:to>
    <xdr:pic>
      <xdr:nvPicPr>
        <xdr:cNvPr id="32" name="31 Imagen" descr="seccion-v-43.bmp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71575" y="2066925"/>
          <a:ext cx="1486046" cy="19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38100</xdr:rowOff>
    </xdr:from>
    <xdr:to>
      <xdr:col>1</xdr:col>
      <xdr:colOff>1483954</xdr:colOff>
      <xdr:row>8</xdr:row>
      <xdr:rowOff>2018100</xdr:rowOff>
    </xdr:to>
    <xdr:pic>
      <xdr:nvPicPr>
        <xdr:cNvPr id="33" name="32 Imagen" descr="seccion-elev.bmp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0" y="17135475"/>
          <a:ext cx="1483954" cy="19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38100</xdr:rowOff>
    </xdr:from>
    <xdr:to>
      <xdr:col>1</xdr:col>
      <xdr:colOff>1483954</xdr:colOff>
      <xdr:row>2</xdr:row>
      <xdr:rowOff>2018100</xdr:rowOff>
    </xdr:to>
    <xdr:pic>
      <xdr:nvPicPr>
        <xdr:cNvPr id="34" name="33 Imagen" descr="seccion-v-50.bmp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71575" y="4219575"/>
          <a:ext cx="1483954" cy="19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38100</xdr:rowOff>
    </xdr:from>
    <xdr:to>
      <xdr:col>1</xdr:col>
      <xdr:colOff>1483953</xdr:colOff>
      <xdr:row>4</xdr:row>
      <xdr:rowOff>2018100</xdr:rowOff>
    </xdr:to>
    <xdr:pic>
      <xdr:nvPicPr>
        <xdr:cNvPr id="35" name="34 Imagen" descr="seccion-glass.bmp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71575" y="8524875"/>
          <a:ext cx="1483953" cy="19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38100</xdr:rowOff>
    </xdr:from>
    <xdr:to>
      <xdr:col>1</xdr:col>
      <xdr:colOff>1483954</xdr:colOff>
      <xdr:row>3</xdr:row>
      <xdr:rowOff>2018100</xdr:rowOff>
    </xdr:to>
    <xdr:pic>
      <xdr:nvPicPr>
        <xdr:cNvPr id="36" name="35 Imagen" descr="seccion-v-58.bmp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171575" y="6372225"/>
          <a:ext cx="1483954" cy="19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38100</xdr:rowOff>
    </xdr:from>
    <xdr:to>
      <xdr:col>1</xdr:col>
      <xdr:colOff>1485524</xdr:colOff>
      <xdr:row>5</xdr:row>
      <xdr:rowOff>2018100</xdr:rowOff>
    </xdr:to>
    <xdr:pic>
      <xdr:nvPicPr>
        <xdr:cNvPr id="7" name="6 Imagen" descr="seccion-XC70.bmp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71575" y="10677525"/>
          <a:ext cx="1485524" cy="19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38100</xdr:rowOff>
    </xdr:from>
    <xdr:to>
      <xdr:col>1</xdr:col>
      <xdr:colOff>1485524</xdr:colOff>
      <xdr:row>6</xdr:row>
      <xdr:rowOff>2018100</xdr:rowOff>
    </xdr:to>
    <xdr:pic>
      <xdr:nvPicPr>
        <xdr:cNvPr id="8" name="7 Imagen" descr="seccion-L86.bmp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171575" y="12830175"/>
          <a:ext cx="1485524" cy="19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38100</xdr:rowOff>
    </xdr:from>
    <xdr:to>
      <xdr:col>1</xdr:col>
      <xdr:colOff>1485524</xdr:colOff>
      <xdr:row>7</xdr:row>
      <xdr:rowOff>2018100</xdr:rowOff>
    </xdr:to>
    <xdr:pic>
      <xdr:nvPicPr>
        <xdr:cNvPr id="9" name="8 Imagen" descr="seccion-gost.bmp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71575" y="14982825"/>
          <a:ext cx="1485524" cy="19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2</xdr:row>
      <xdr:rowOff>57150</xdr:rowOff>
    </xdr:from>
    <xdr:to>
      <xdr:col>2</xdr:col>
      <xdr:colOff>3115154</xdr:colOff>
      <xdr:row>2</xdr:row>
      <xdr:rowOff>2145150</xdr:rowOff>
    </xdr:to>
    <xdr:pic>
      <xdr:nvPicPr>
        <xdr:cNvPr id="25" name="24 Imagen" descr="seccion-v50-4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876551" y="4238625"/>
          <a:ext cx="3077053" cy="208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1</xdr:row>
      <xdr:rowOff>38100</xdr:rowOff>
    </xdr:from>
    <xdr:to>
      <xdr:col>2</xdr:col>
      <xdr:colOff>3115154</xdr:colOff>
      <xdr:row>1</xdr:row>
      <xdr:rowOff>2126100</xdr:rowOff>
    </xdr:to>
    <xdr:pic>
      <xdr:nvPicPr>
        <xdr:cNvPr id="26" name="25 Imagen" descr="seccion-v43-4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876551" y="2066925"/>
          <a:ext cx="3077053" cy="208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3</xdr:row>
      <xdr:rowOff>38100</xdr:rowOff>
    </xdr:from>
    <xdr:to>
      <xdr:col>2</xdr:col>
      <xdr:colOff>3115154</xdr:colOff>
      <xdr:row>3</xdr:row>
      <xdr:rowOff>2126100</xdr:rowOff>
    </xdr:to>
    <xdr:pic>
      <xdr:nvPicPr>
        <xdr:cNvPr id="27" name="26 Imagen" descr="seccion-v58-4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876551" y="6372225"/>
          <a:ext cx="3077053" cy="208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4</xdr:row>
      <xdr:rowOff>38100</xdr:rowOff>
    </xdr:from>
    <xdr:to>
      <xdr:col>2</xdr:col>
      <xdr:colOff>3115154</xdr:colOff>
      <xdr:row>4</xdr:row>
      <xdr:rowOff>2126100</xdr:rowOff>
    </xdr:to>
    <xdr:pic>
      <xdr:nvPicPr>
        <xdr:cNvPr id="28" name="27 Imagen" descr="seccion-glass-4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76551" y="8524875"/>
          <a:ext cx="3077053" cy="208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5</xdr:row>
      <xdr:rowOff>38100</xdr:rowOff>
    </xdr:from>
    <xdr:to>
      <xdr:col>2</xdr:col>
      <xdr:colOff>3115154</xdr:colOff>
      <xdr:row>5</xdr:row>
      <xdr:rowOff>2126100</xdr:rowOff>
    </xdr:to>
    <xdr:pic>
      <xdr:nvPicPr>
        <xdr:cNvPr id="29" name="28 Imagen" descr="seccion-xc-4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876551" y="10677525"/>
          <a:ext cx="3077053" cy="208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</xdr:row>
      <xdr:rowOff>38100</xdr:rowOff>
    </xdr:from>
    <xdr:to>
      <xdr:col>2</xdr:col>
      <xdr:colOff>3115154</xdr:colOff>
      <xdr:row>6</xdr:row>
      <xdr:rowOff>2126100</xdr:rowOff>
    </xdr:to>
    <xdr:pic>
      <xdr:nvPicPr>
        <xdr:cNvPr id="30" name="29 Imagen" descr="seccion-l86-4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876551" y="12830175"/>
          <a:ext cx="3077053" cy="208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</xdr:row>
      <xdr:rowOff>38100</xdr:rowOff>
    </xdr:from>
    <xdr:to>
      <xdr:col>2</xdr:col>
      <xdr:colOff>3115154</xdr:colOff>
      <xdr:row>7</xdr:row>
      <xdr:rowOff>2126100</xdr:rowOff>
    </xdr:to>
    <xdr:pic>
      <xdr:nvPicPr>
        <xdr:cNvPr id="31" name="30 Imagen" descr="seccion-ghost-4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876551" y="14982825"/>
          <a:ext cx="3077053" cy="208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8</xdr:row>
      <xdr:rowOff>38100</xdr:rowOff>
    </xdr:from>
    <xdr:to>
      <xdr:col>2</xdr:col>
      <xdr:colOff>3115154</xdr:colOff>
      <xdr:row>8</xdr:row>
      <xdr:rowOff>2126100</xdr:rowOff>
    </xdr:to>
    <xdr:pic>
      <xdr:nvPicPr>
        <xdr:cNvPr id="37" name="36 Imagen" descr="seccion-elev-4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876551" y="17135475"/>
          <a:ext cx="3077053" cy="2088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AI66"/>
  <sheetViews>
    <sheetView showGridLines="0" showRowColHeaders="0" tabSelected="1" showRuler="0" showWhiteSpace="0" view="pageLayout" zoomScale="125" zoomScalePageLayoutView="125" workbookViewId="0">
      <selection activeCell="U18" sqref="U18:Y18"/>
    </sheetView>
  </sheetViews>
  <sheetFormatPr baseColWidth="10" defaultColWidth="11.42578125" defaultRowHeight="15"/>
  <cols>
    <col min="1" max="2" width="1" customWidth="1"/>
    <col min="3" max="3" width="6.5703125" customWidth="1"/>
    <col min="4" max="4" width="2.28515625" customWidth="1"/>
    <col min="5" max="5" width="1" customWidth="1"/>
    <col min="6" max="6" width="6.5703125" customWidth="1"/>
    <col min="7" max="7" width="1" customWidth="1"/>
    <col min="8" max="8" width="6.5703125" customWidth="1"/>
    <col min="9" max="9" width="1" customWidth="1"/>
    <col min="10" max="10" width="6.5703125" customWidth="1"/>
    <col min="11" max="11" width="1" customWidth="1"/>
    <col min="12" max="12" width="6.5703125" customWidth="1"/>
    <col min="13" max="13" width="1" customWidth="1"/>
    <col min="14" max="14" width="6.5703125" customWidth="1"/>
    <col min="15" max="15" width="1" customWidth="1"/>
    <col min="16" max="16" width="2.28515625" customWidth="1"/>
    <col min="17" max="17" width="6.5703125" customWidth="1"/>
    <col min="18" max="18" width="1" customWidth="1"/>
    <col min="19" max="19" width="2.28515625" customWidth="1"/>
    <col min="20" max="20" width="1" customWidth="1"/>
    <col min="21" max="21" width="6.5703125" customWidth="1"/>
    <col min="22" max="22" width="1" customWidth="1"/>
    <col min="23" max="23" width="6.5703125" customWidth="1"/>
    <col min="24" max="24" width="1" customWidth="1"/>
    <col min="25" max="25" width="6.5703125" customWidth="1"/>
    <col min="26" max="27" width="1" customWidth="1"/>
  </cols>
  <sheetData>
    <row r="1" spans="1:35" ht="8.4499999999999993" customHeight="1">
      <c r="A1" s="131"/>
      <c r="AA1" s="131"/>
    </row>
    <row r="2" spans="1:35" ht="19.7" customHeight="1">
      <c r="A2" s="131"/>
      <c r="B2" s="564" t="s">
        <v>601</v>
      </c>
      <c r="C2" s="564"/>
      <c r="D2" s="564"/>
      <c r="E2" s="564"/>
      <c r="F2" s="564"/>
      <c r="G2" s="566" t="s">
        <v>600</v>
      </c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  <c r="T2" s="566"/>
      <c r="U2" s="566"/>
      <c r="V2" s="565" t="s">
        <v>21</v>
      </c>
      <c r="W2" s="565"/>
      <c r="X2" s="565"/>
      <c r="Y2" s="565"/>
      <c r="Z2" s="565"/>
      <c r="AA2" s="131"/>
    </row>
    <row r="3" spans="1:35" ht="8.4499999999999993" customHeight="1">
      <c r="A3" s="131"/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</row>
    <row r="4" spans="1:35" ht="15" customHeight="1" thickBot="1">
      <c r="A4" s="355"/>
      <c r="B4" s="541" t="s">
        <v>572</v>
      </c>
      <c r="C4" s="541"/>
      <c r="D4" s="541"/>
      <c r="E4" s="541"/>
      <c r="F4" s="541"/>
      <c r="G4" s="541"/>
      <c r="H4" s="541"/>
      <c r="I4" s="541"/>
      <c r="J4" s="541"/>
      <c r="K4" s="541"/>
      <c r="L4" s="541"/>
      <c r="M4" s="541"/>
      <c r="N4" s="541"/>
      <c r="O4" s="541"/>
      <c r="P4" s="541"/>
      <c r="Q4" s="541"/>
      <c r="R4" s="541"/>
      <c r="S4" s="541"/>
      <c r="T4" s="541"/>
      <c r="U4" s="541"/>
      <c r="V4" s="541"/>
      <c r="W4" s="541"/>
      <c r="X4" s="541"/>
      <c r="Y4" s="541"/>
      <c r="Z4" s="541"/>
      <c r="AA4" s="355"/>
      <c r="AB4" s="322"/>
      <c r="AC4" s="322"/>
      <c r="AD4" s="322"/>
      <c r="AE4" s="322"/>
      <c r="AF4" s="322"/>
      <c r="AG4" s="322"/>
      <c r="AH4" s="322"/>
    </row>
    <row r="5" spans="1:35" ht="12" customHeight="1" thickTop="1">
      <c r="A5" s="355"/>
      <c r="B5" s="356"/>
      <c r="C5" s="357" t="s">
        <v>25</v>
      </c>
      <c r="D5" s="358"/>
      <c r="E5" s="358"/>
      <c r="F5" s="359"/>
      <c r="G5" s="359"/>
      <c r="H5" s="359"/>
      <c r="I5" s="359"/>
      <c r="J5" s="357" t="s">
        <v>29</v>
      </c>
      <c r="K5" s="359"/>
      <c r="L5" s="359"/>
      <c r="M5" s="359"/>
      <c r="N5" s="359"/>
      <c r="O5" s="359"/>
      <c r="P5" s="359"/>
      <c r="Q5" s="359"/>
      <c r="R5" s="359"/>
      <c r="S5" s="359"/>
      <c r="T5" s="359"/>
      <c r="U5" s="357" t="s">
        <v>24</v>
      </c>
      <c r="V5" s="359"/>
      <c r="W5" s="359"/>
      <c r="X5" s="359"/>
      <c r="Y5" s="357" t="s">
        <v>581</v>
      </c>
      <c r="Z5" s="360"/>
      <c r="AA5" s="355"/>
      <c r="AB5" s="322"/>
      <c r="AC5" s="322"/>
      <c r="AD5" s="322"/>
      <c r="AE5" s="322"/>
      <c r="AF5" s="322"/>
      <c r="AG5" s="322"/>
      <c r="AH5" s="322"/>
    </row>
    <row r="6" spans="1:35" ht="15" customHeight="1">
      <c r="A6" s="355"/>
      <c r="B6" s="356"/>
      <c r="C6" s="571"/>
      <c r="D6" s="572"/>
      <c r="E6" s="572"/>
      <c r="F6" s="572"/>
      <c r="G6" s="572"/>
      <c r="H6" s="573"/>
      <c r="I6" s="361"/>
      <c r="J6" s="524"/>
      <c r="K6" s="525"/>
      <c r="L6" s="525"/>
      <c r="M6" s="525"/>
      <c r="N6" s="525"/>
      <c r="O6" s="525"/>
      <c r="P6" s="525"/>
      <c r="Q6" s="525"/>
      <c r="R6" s="525"/>
      <c r="S6" s="526"/>
      <c r="T6" s="359"/>
      <c r="U6" s="574"/>
      <c r="V6" s="575"/>
      <c r="W6" s="576"/>
      <c r="X6" s="359"/>
      <c r="Y6" s="349"/>
      <c r="Z6" s="360"/>
      <c r="AA6" s="355"/>
      <c r="AB6" s="322"/>
      <c r="AC6" s="322"/>
      <c r="AD6" s="322"/>
      <c r="AE6" s="322"/>
      <c r="AF6" s="322"/>
      <c r="AG6" s="322"/>
      <c r="AH6" s="322"/>
    </row>
    <row r="7" spans="1:35" ht="5.85" customHeight="1" thickBot="1">
      <c r="A7" s="355"/>
      <c r="B7" s="362"/>
      <c r="C7" s="363"/>
      <c r="D7" s="363"/>
      <c r="E7" s="363"/>
      <c r="F7" s="363"/>
      <c r="G7" s="363"/>
      <c r="H7" s="363"/>
      <c r="I7" s="363"/>
      <c r="J7" s="363"/>
      <c r="K7" s="363"/>
      <c r="L7" s="363"/>
      <c r="M7" s="363"/>
      <c r="N7" s="363"/>
      <c r="O7" s="363"/>
      <c r="P7" s="363"/>
      <c r="Q7" s="363"/>
      <c r="R7" s="363"/>
      <c r="S7" s="363"/>
      <c r="T7" s="363"/>
      <c r="U7" s="363"/>
      <c r="V7" s="363"/>
      <c r="W7" s="363"/>
      <c r="X7" s="363"/>
      <c r="Y7" s="363"/>
      <c r="Z7" s="364"/>
      <c r="AA7" s="355"/>
      <c r="AB7" s="322"/>
      <c r="AC7" s="322"/>
      <c r="AD7" s="322"/>
      <c r="AE7" s="322"/>
      <c r="AF7" s="322"/>
      <c r="AG7" s="322"/>
      <c r="AH7" s="322"/>
    </row>
    <row r="8" spans="1:35" ht="8.4499999999999993" customHeight="1" thickTop="1">
      <c r="A8" s="355"/>
      <c r="B8" s="355"/>
      <c r="C8" s="131"/>
      <c r="D8" s="131"/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1"/>
      <c r="P8" s="131"/>
      <c r="Q8" s="131"/>
      <c r="R8" s="131"/>
      <c r="S8" s="131"/>
      <c r="T8" s="131"/>
      <c r="U8" s="131"/>
      <c r="V8" s="131"/>
      <c r="W8" s="131"/>
      <c r="X8" s="131"/>
      <c r="Y8" s="131"/>
      <c r="Z8" s="355"/>
      <c r="AA8" s="355"/>
      <c r="AB8" s="322"/>
      <c r="AC8" s="322"/>
      <c r="AD8" s="322"/>
      <c r="AE8" s="322"/>
      <c r="AF8" s="322"/>
      <c r="AG8" s="322"/>
      <c r="AH8" s="322"/>
    </row>
    <row r="9" spans="1:35" ht="15" customHeight="1" thickBot="1">
      <c r="A9" s="355"/>
      <c r="B9" s="541" t="s">
        <v>582</v>
      </c>
      <c r="C9" s="541"/>
      <c r="D9" s="541"/>
      <c r="E9" s="541"/>
      <c r="F9" s="541"/>
      <c r="G9" s="541"/>
      <c r="H9" s="541"/>
      <c r="I9" s="541"/>
      <c r="J9" s="541"/>
      <c r="K9" s="541"/>
      <c r="L9" s="541"/>
      <c r="M9" s="541"/>
      <c r="N9" s="541"/>
      <c r="O9" s="541"/>
      <c r="P9" s="541"/>
      <c r="Q9" s="541"/>
      <c r="R9" s="541"/>
      <c r="S9" s="541"/>
      <c r="T9" s="541"/>
      <c r="U9" s="541"/>
      <c r="V9" s="541"/>
      <c r="W9" s="541"/>
      <c r="X9" s="541"/>
      <c r="Y9" s="541"/>
      <c r="Z9" s="541"/>
      <c r="AA9" s="355"/>
      <c r="AB9" s="322"/>
      <c r="AC9" s="322"/>
      <c r="AD9" s="322"/>
      <c r="AE9" s="322"/>
      <c r="AF9" s="322"/>
      <c r="AG9" s="322"/>
      <c r="AH9" s="322"/>
    </row>
    <row r="10" spans="1:35" ht="12" customHeight="1" thickTop="1">
      <c r="A10" s="355"/>
      <c r="B10" s="356"/>
      <c r="C10" s="357" t="s">
        <v>28</v>
      </c>
      <c r="D10" s="357"/>
      <c r="E10" s="359"/>
      <c r="F10" s="359"/>
      <c r="G10" s="359"/>
      <c r="H10" s="357" t="s">
        <v>30</v>
      </c>
      <c r="I10" s="359"/>
      <c r="J10" s="359"/>
      <c r="K10" s="359"/>
      <c r="L10" s="357" t="s">
        <v>26</v>
      </c>
      <c r="M10" s="357"/>
      <c r="N10" s="359"/>
      <c r="O10" s="359"/>
      <c r="P10" s="357" t="s">
        <v>580</v>
      </c>
      <c r="Q10" s="359"/>
      <c r="R10" s="359"/>
      <c r="S10" s="360"/>
      <c r="T10" s="365"/>
      <c r="U10" s="366" t="s">
        <v>577</v>
      </c>
      <c r="V10" s="367"/>
      <c r="W10" s="367"/>
      <c r="X10" s="367"/>
      <c r="Y10" s="367"/>
      <c r="Z10" s="368"/>
      <c r="AA10" s="355"/>
      <c r="AB10" s="322"/>
      <c r="AC10" s="322"/>
      <c r="AD10" s="322"/>
      <c r="AE10" s="322"/>
      <c r="AF10" s="322"/>
      <c r="AG10" s="322"/>
      <c r="AH10" s="322"/>
    </row>
    <row r="11" spans="1:35" ht="15" customHeight="1">
      <c r="A11" s="355"/>
      <c r="B11" s="356"/>
      <c r="C11" s="524"/>
      <c r="D11" s="525"/>
      <c r="E11" s="525"/>
      <c r="F11" s="526"/>
      <c r="G11" s="359"/>
      <c r="H11" s="535" t="str">
        <f>IF(C11="","",VLOOKUP(C11,'TABLAS U'!A3:C54,3))</f>
        <v/>
      </c>
      <c r="I11" s="536"/>
      <c r="J11" s="537"/>
      <c r="K11" s="359"/>
      <c r="L11" s="535" t="str">
        <f>IF(C11="","",'TABLAS U'!C2)</f>
        <v/>
      </c>
      <c r="M11" s="536"/>
      <c r="N11" s="537"/>
      <c r="O11" s="359"/>
      <c r="P11" s="577" t="str">
        <f>IF(L11="","",'TABLAS U'!O42)</f>
        <v/>
      </c>
      <c r="Q11" s="578"/>
      <c r="R11" s="579"/>
      <c r="S11" s="360"/>
      <c r="T11" s="356"/>
      <c r="U11" s="538"/>
      <c r="V11" s="539"/>
      <c r="W11" s="539"/>
      <c r="X11" s="539"/>
      <c r="Y11" s="540"/>
      <c r="Z11" s="360"/>
      <c r="AA11" s="355"/>
      <c r="AF11" s="322"/>
      <c r="AG11" s="322"/>
      <c r="AH11" s="322"/>
    </row>
    <row r="12" spans="1:35" ht="12" customHeight="1">
      <c r="A12" s="355"/>
      <c r="B12" s="356"/>
      <c r="C12" s="357" t="s">
        <v>27</v>
      </c>
      <c r="D12" s="357"/>
      <c r="E12" s="359"/>
      <c r="F12" s="359"/>
      <c r="G12" s="359"/>
      <c r="H12" s="357" t="s">
        <v>31</v>
      </c>
      <c r="I12" s="357"/>
      <c r="J12" s="359"/>
      <c r="K12" s="359"/>
      <c r="L12" s="357" t="s">
        <v>32</v>
      </c>
      <c r="M12" s="359"/>
      <c r="N12" s="359"/>
      <c r="O12" s="359"/>
      <c r="P12" s="580"/>
      <c r="Q12" s="581"/>
      <c r="R12" s="582"/>
      <c r="S12" s="360"/>
      <c r="T12" s="356"/>
      <c r="U12" s="357" t="s">
        <v>578</v>
      </c>
      <c r="V12" s="369"/>
      <c r="W12" s="357" t="s">
        <v>579</v>
      </c>
      <c r="X12" s="359"/>
      <c r="Y12" s="357" t="s">
        <v>405</v>
      </c>
      <c r="Z12" s="360"/>
      <c r="AA12" s="355"/>
      <c r="AF12" s="322"/>
      <c r="AG12" s="322"/>
      <c r="AH12" s="322"/>
    </row>
    <row r="13" spans="1:35" s="87" customFormat="1" ht="15" customHeight="1">
      <c r="A13" s="355"/>
      <c r="B13" s="356"/>
      <c r="C13" s="524"/>
      <c r="D13" s="525"/>
      <c r="E13" s="525"/>
      <c r="F13" s="526"/>
      <c r="G13" s="370"/>
      <c r="H13" s="568"/>
      <c r="I13" s="569"/>
      <c r="J13" s="570"/>
      <c r="K13" s="370"/>
      <c r="L13" s="568"/>
      <c r="M13" s="569"/>
      <c r="N13" s="570"/>
      <c r="O13" s="359"/>
      <c r="P13" s="567" t="s">
        <v>124</v>
      </c>
      <c r="Q13" s="567"/>
      <c r="R13" s="567"/>
      <c r="S13" s="371"/>
      <c r="T13" s="372"/>
      <c r="U13" s="349"/>
      <c r="V13" s="359"/>
      <c r="W13" s="349"/>
      <c r="X13" s="370"/>
      <c r="Y13" s="349"/>
      <c r="Z13" s="360"/>
      <c r="AA13" s="355"/>
      <c r="AB13" s="322"/>
      <c r="AC13" s="322"/>
      <c r="AD13" s="322"/>
      <c r="AE13" s="322"/>
      <c r="AF13" s="322"/>
      <c r="AG13" s="322"/>
      <c r="AH13" s="322"/>
      <c r="AI13"/>
    </row>
    <row r="14" spans="1:35" s="87" customFormat="1" ht="5.85" customHeight="1" thickBot="1">
      <c r="A14" s="355"/>
      <c r="B14" s="362"/>
      <c r="C14" s="373"/>
      <c r="D14" s="373"/>
      <c r="E14" s="373"/>
      <c r="F14" s="373"/>
      <c r="G14" s="374"/>
      <c r="H14" s="373"/>
      <c r="I14" s="373"/>
      <c r="J14" s="373"/>
      <c r="K14" s="374"/>
      <c r="L14" s="373"/>
      <c r="M14" s="373"/>
      <c r="N14" s="373"/>
      <c r="O14" s="363"/>
      <c r="P14" s="375"/>
      <c r="Q14" s="375"/>
      <c r="R14" s="375"/>
      <c r="S14" s="376"/>
      <c r="T14" s="377"/>
      <c r="U14" s="378"/>
      <c r="V14" s="363"/>
      <c r="W14" s="378"/>
      <c r="X14" s="374"/>
      <c r="Y14" s="378"/>
      <c r="Z14" s="364"/>
      <c r="AA14" s="355"/>
      <c r="AB14" s="322"/>
      <c r="AC14" s="322"/>
      <c r="AD14" s="322"/>
      <c r="AE14" s="322"/>
      <c r="AF14" s="322"/>
      <c r="AG14" s="322"/>
      <c r="AH14" s="322"/>
      <c r="AI14"/>
    </row>
    <row r="15" spans="1:35" ht="8.4499999999999993" customHeight="1" thickTop="1">
      <c r="A15" s="355"/>
      <c r="B15" s="355"/>
      <c r="C15" s="355"/>
      <c r="D15" s="355"/>
      <c r="E15" s="355"/>
      <c r="F15" s="355"/>
      <c r="G15" s="355"/>
      <c r="H15" s="355"/>
      <c r="I15" s="355"/>
      <c r="J15" s="355"/>
      <c r="K15" s="355"/>
      <c r="L15" s="355"/>
      <c r="M15" s="355"/>
      <c r="N15" s="355"/>
      <c r="O15" s="355"/>
      <c r="P15" s="355"/>
      <c r="Q15" s="355"/>
      <c r="R15" s="355"/>
      <c r="S15" s="355"/>
      <c r="T15" s="355"/>
      <c r="U15" s="355"/>
      <c r="V15" s="355"/>
      <c r="W15" s="355"/>
      <c r="X15" s="355"/>
      <c r="Y15" s="355"/>
      <c r="Z15" s="355"/>
      <c r="AA15" s="355"/>
      <c r="AB15" s="322"/>
      <c r="AC15" s="322"/>
      <c r="AD15" s="322"/>
      <c r="AE15" s="322"/>
      <c r="AF15" s="322"/>
      <c r="AG15" s="322"/>
      <c r="AH15" s="322"/>
    </row>
    <row r="16" spans="1:35" ht="15" customHeight="1" thickBot="1">
      <c r="A16" s="131"/>
      <c r="B16" s="541" t="s">
        <v>518</v>
      </c>
      <c r="C16" s="541"/>
      <c r="D16" s="541"/>
      <c r="E16" s="541"/>
      <c r="F16" s="541"/>
      <c r="G16" s="541"/>
      <c r="H16" s="541"/>
      <c r="I16" s="541"/>
      <c r="J16" s="541"/>
      <c r="K16" s="541"/>
      <c r="L16" s="541"/>
      <c r="M16" s="541"/>
      <c r="N16" s="541"/>
      <c r="O16" s="541"/>
      <c r="P16" s="541"/>
      <c r="Q16" s="541"/>
      <c r="R16" s="541"/>
      <c r="S16" s="541"/>
      <c r="T16" s="541"/>
      <c r="U16" s="541"/>
      <c r="V16" s="541"/>
      <c r="W16" s="541"/>
      <c r="X16" s="541"/>
      <c r="Y16" s="541"/>
      <c r="Z16" s="541"/>
      <c r="AA16" s="131"/>
    </row>
    <row r="17" spans="1:27" s="87" customFormat="1" ht="15" customHeight="1" thickTop="1">
      <c r="A17" s="379"/>
      <c r="B17" s="372"/>
      <c r="C17" s="370"/>
      <c r="D17" s="370"/>
      <c r="E17" s="370"/>
      <c r="F17" s="370"/>
      <c r="G17" s="370"/>
      <c r="H17" s="370"/>
      <c r="I17" s="370"/>
      <c r="J17" s="388" t="s">
        <v>361</v>
      </c>
      <c r="K17" s="380"/>
      <c r="L17" s="370"/>
      <c r="M17" s="370"/>
      <c r="N17" s="370"/>
      <c r="O17" s="370"/>
      <c r="P17" s="370"/>
      <c r="Q17" s="370"/>
      <c r="R17" s="370"/>
      <c r="S17" s="370"/>
      <c r="T17" s="370"/>
      <c r="U17" s="366" t="s">
        <v>126</v>
      </c>
      <c r="V17" s="367"/>
      <c r="W17" s="367"/>
      <c r="X17" s="367"/>
      <c r="Y17" s="367"/>
      <c r="Z17" s="371"/>
      <c r="AA17" s="379"/>
    </row>
    <row r="18" spans="1:27" ht="15" customHeight="1">
      <c r="A18" s="131"/>
      <c r="B18" s="356"/>
      <c r="C18" s="359"/>
      <c r="D18" s="359"/>
      <c r="E18" s="359"/>
      <c r="F18" s="359"/>
      <c r="G18" s="359"/>
      <c r="H18" s="381"/>
      <c r="I18" s="381"/>
      <c r="J18" s="348"/>
      <c r="K18" s="370"/>
      <c r="L18" s="382" t="s">
        <v>205</v>
      </c>
      <c r="M18" s="381"/>
      <c r="N18" s="359"/>
      <c r="O18" s="359"/>
      <c r="P18" s="359"/>
      <c r="Q18" s="359"/>
      <c r="R18" s="359"/>
      <c r="S18" s="359"/>
      <c r="T18" s="359"/>
      <c r="U18" s="561"/>
      <c r="V18" s="562"/>
      <c r="W18" s="562"/>
      <c r="X18" s="562"/>
      <c r="Y18" s="563"/>
      <c r="Z18" s="360"/>
      <c r="AA18" s="131"/>
    </row>
    <row r="19" spans="1:27" ht="12.95" customHeight="1">
      <c r="A19" s="131"/>
      <c r="B19" s="356"/>
      <c r="C19" s="359"/>
      <c r="D19" s="359"/>
      <c r="E19" s="359"/>
      <c r="F19" s="359"/>
      <c r="G19" s="359"/>
      <c r="H19" s="359"/>
      <c r="I19" s="359"/>
      <c r="J19" s="359"/>
      <c r="K19" s="359"/>
      <c r="L19" s="359"/>
      <c r="M19" s="359"/>
      <c r="N19" s="359"/>
      <c r="O19" s="359"/>
      <c r="P19" s="359"/>
      <c r="Q19" s="359"/>
      <c r="R19" s="359"/>
      <c r="S19" s="359"/>
      <c r="T19" s="359"/>
      <c r="U19" s="500" t="s">
        <v>204</v>
      </c>
      <c r="V19" s="500"/>
      <c r="W19" s="501"/>
      <c r="X19" s="501"/>
      <c r="Y19" s="501"/>
      <c r="Z19" s="360"/>
      <c r="AA19" s="131"/>
    </row>
    <row r="20" spans="1:27" ht="12" customHeight="1">
      <c r="A20" s="131"/>
      <c r="B20" s="356"/>
      <c r="C20" s="383"/>
      <c r="D20" s="359"/>
      <c r="E20" s="359"/>
      <c r="F20" s="359"/>
      <c r="G20" s="359"/>
      <c r="H20" s="359"/>
      <c r="I20" s="359"/>
      <c r="J20" s="359"/>
      <c r="K20" s="359"/>
      <c r="L20" s="359"/>
      <c r="M20" s="359"/>
      <c r="N20" s="359"/>
      <c r="O20" s="359"/>
      <c r="P20" s="359"/>
      <c r="Q20" s="384"/>
      <c r="R20" s="384"/>
      <c r="S20" s="384"/>
      <c r="T20" s="359"/>
      <c r="U20" s="552" t="str">
        <f>IF(U18="","",VLOOKUP(U18,'SERIES SIN'!A39:B46,2,FALSE))</f>
        <v/>
      </c>
      <c r="V20" s="553"/>
      <c r="W20" s="553"/>
      <c r="X20" s="553"/>
      <c r="Y20" s="554"/>
      <c r="Z20" s="360"/>
      <c r="AA20" s="131"/>
    </row>
    <row r="21" spans="1:27" ht="15" customHeight="1">
      <c r="A21" s="131"/>
      <c r="B21" s="356"/>
      <c r="C21" s="383"/>
      <c r="D21" s="385"/>
      <c r="E21" s="359"/>
      <c r="F21" s="359"/>
      <c r="G21" s="359"/>
      <c r="H21" s="359"/>
      <c r="I21" s="359"/>
      <c r="J21" s="359"/>
      <c r="K21" s="359"/>
      <c r="L21" s="359"/>
      <c r="M21" s="359"/>
      <c r="N21" s="359"/>
      <c r="O21" s="359"/>
      <c r="P21" s="359"/>
      <c r="Q21" s="348"/>
      <c r="R21" s="384"/>
      <c r="S21" s="383"/>
      <c r="T21" s="359"/>
      <c r="U21" s="555"/>
      <c r="V21" s="556"/>
      <c r="W21" s="556"/>
      <c r="X21" s="556"/>
      <c r="Y21" s="557"/>
      <c r="Z21" s="360"/>
      <c r="AA21" s="131"/>
    </row>
    <row r="22" spans="1:27" s="87" customFormat="1" ht="12" customHeight="1">
      <c r="A22" s="379"/>
      <c r="B22" s="372"/>
      <c r="C22" s="386"/>
      <c r="D22" s="387"/>
      <c r="E22" s="370"/>
      <c r="F22" s="370"/>
      <c r="G22" s="370"/>
      <c r="H22" s="370"/>
      <c r="I22" s="370"/>
      <c r="J22" s="370"/>
      <c r="K22" s="370"/>
      <c r="L22" s="370"/>
      <c r="M22" s="370"/>
      <c r="N22" s="370"/>
      <c r="O22" s="370"/>
      <c r="P22" s="370"/>
      <c r="Q22" s="388" t="s">
        <v>205</v>
      </c>
      <c r="R22" s="388"/>
      <c r="S22" s="550" t="str">
        <f>IF(U18="","",'SERIES SIN'!S9)</f>
        <v/>
      </c>
      <c r="T22" s="370"/>
      <c r="U22" s="555"/>
      <c r="V22" s="556"/>
      <c r="W22" s="556"/>
      <c r="X22" s="556"/>
      <c r="Y22" s="557"/>
      <c r="Z22" s="371"/>
      <c r="AA22" s="379"/>
    </row>
    <row r="23" spans="1:27" ht="15" customHeight="1">
      <c r="A23" s="131"/>
      <c r="B23" s="356"/>
      <c r="C23" s="383"/>
      <c r="D23" s="385"/>
      <c r="E23" s="359"/>
      <c r="F23" s="359"/>
      <c r="G23" s="359"/>
      <c r="H23" s="359"/>
      <c r="I23" s="359"/>
      <c r="J23" s="359"/>
      <c r="K23" s="359"/>
      <c r="L23" s="359"/>
      <c r="M23" s="359"/>
      <c r="N23" s="359"/>
      <c r="O23" s="359"/>
      <c r="P23" s="359"/>
      <c r="Q23" s="383"/>
      <c r="R23" s="383"/>
      <c r="S23" s="550"/>
      <c r="T23" s="359"/>
      <c r="U23" s="558"/>
      <c r="V23" s="559"/>
      <c r="W23" s="559"/>
      <c r="X23" s="559"/>
      <c r="Y23" s="560"/>
      <c r="Z23" s="360"/>
      <c r="AA23" s="131"/>
    </row>
    <row r="24" spans="1:27" ht="12" customHeight="1">
      <c r="A24" s="131"/>
      <c r="B24" s="356"/>
      <c r="C24" s="359"/>
      <c r="D24" s="385"/>
      <c r="E24" s="359"/>
      <c r="F24" s="359"/>
      <c r="G24" s="359"/>
      <c r="H24" s="359"/>
      <c r="I24" s="359"/>
      <c r="J24" s="359"/>
      <c r="K24" s="359"/>
      <c r="L24" s="359"/>
      <c r="M24" s="359"/>
      <c r="N24" s="359"/>
      <c r="O24" s="359"/>
      <c r="P24" s="359"/>
      <c r="Q24" s="384"/>
      <c r="R24" s="384"/>
      <c r="S24" s="550"/>
      <c r="T24" s="359"/>
      <c r="U24" s="357" t="s">
        <v>142</v>
      </c>
      <c r="V24" s="357"/>
      <c r="W24" s="359"/>
      <c r="X24" s="359"/>
      <c r="Y24" s="359"/>
      <c r="Z24" s="360"/>
      <c r="AA24" s="131"/>
    </row>
    <row r="25" spans="1:27" ht="15" customHeight="1">
      <c r="A25" s="131"/>
      <c r="B25" s="356"/>
      <c r="C25" s="359"/>
      <c r="D25" s="385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550"/>
      <c r="T25" s="359"/>
      <c r="U25" s="538"/>
      <c r="V25" s="539"/>
      <c r="W25" s="539"/>
      <c r="X25" s="539"/>
      <c r="Y25" s="540"/>
      <c r="Z25" s="360"/>
      <c r="AA25" s="131"/>
    </row>
    <row r="26" spans="1:27" ht="12" customHeight="1">
      <c r="A26" s="131"/>
      <c r="B26" s="356"/>
      <c r="C26" s="380" t="s">
        <v>362</v>
      </c>
      <c r="D26" s="385"/>
      <c r="E26" s="359"/>
      <c r="F26" s="359"/>
      <c r="G26" s="359"/>
      <c r="H26" s="359"/>
      <c r="I26" s="359"/>
      <c r="J26" s="359"/>
      <c r="K26" s="359"/>
      <c r="L26" s="359"/>
      <c r="M26" s="359"/>
      <c r="N26" s="359"/>
      <c r="O26" s="359"/>
      <c r="P26" s="359"/>
      <c r="Q26" s="388" t="s">
        <v>221</v>
      </c>
      <c r="R26" s="388"/>
      <c r="S26" s="550"/>
      <c r="T26" s="359"/>
      <c r="U26" s="357" t="s">
        <v>356</v>
      </c>
      <c r="V26" s="357"/>
      <c r="W26" s="359"/>
      <c r="X26" s="359"/>
      <c r="Y26" s="359"/>
      <c r="Z26" s="360"/>
      <c r="AA26" s="131"/>
    </row>
    <row r="27" spans="1:27" ht="15" customHeight="1">
      <c r="A27" s="131"/>
      <c r="B27" s="356"/>
      <c r="C27" s="348"/>
      <c r="D27" s="385"/>
      <c r="E27" s="359"/>
      <c r="F27" s="359"/>
      <c r="G27" s="359"/>
      <c r="H27" s="359"/>
      <c r="I27" s="359"/>
      <c r="J27" s="359"/>
      <c r="K27" s="359"/>
      <c r="L27" s="359"/>
      <c r="M27" s="359"/>
      <c r="N27" s="359"/>
      <c r="O27" s="359"/>
      <c r="P27" s="359"/>
      <c r="Q27" s="351">
        <f>C27-Q33-Q21</f>
        <v>0</v>
      </c>
      <c r="R27" s="352"/>
      <c r="S27" s="550"/>
      <c r="T27" s="359"/>
      <c r="U27" s="538"/>
      <c r="V27" s="539"/>
      <c r="W27" s="539"/>
      <c r="X27" s="539"/>
      <c r="Y27" s="540"/>
      <c r="Z27" s="360"/>
      <c r="AA27" s="131"/>
    </row>
    <row r="28" spans="1:27" ht="15" customHeight="1">
      <c r="A28" s="131"/>
      <c r="B28" s="356"/>
      <c r="C28" s="389" t="s">
        <v>205</v>
      </c>
      <c r="D28" s="385"/>
      <c r="E28" s="359"/>
      <c r="F28" s="359"/>
      <c r="G28" s="359"/>
      <c r="H28" s="359"/>
      <c r="I28" s="359"/>
      <c r="J28" s="359"/>
      <c r="K28" s="359"/>
      <c r="L28" s="359"/>
      <c r="M28" s="359"/>
      <c r="N28" s="359"/>
      <c r="O28" s="359"/>
      <c r="P28" s="359"/>
      <c r="Q28" s="389" t="s">
        <v>205</v>
      </c>
      <c r="R28" s="389"/>
      <c r="S28" s="550"/>
      <c r="T28" s="359"/>
      <c r="U28" s="502"/>
      <c r="V28" s="502"/>
      <c r="W28" s="502"/>
      <c r="X28" s="502"/>
      <c r="Y28" s="502"/>
      <c r="Z28" s="360"/>
      <c r="AA28" s="131"/>
    </row>
    <row r="29" spans="1:27" ht="15" customHeight="1">
      <c r="A29" s="131"/>
      <c r="B29" s="356"/>
      <c r="C29" s="383"/>
      <c r="D29" s="385"/>
      <c r="E29" s="359"/>
      <c r="F29" s="359"/>
      <c r="G29" s="359"/>
      <c r="H29" s="359"/>
      <c r="I29" s="359"/>
      <c r="J29" s="359"/>
      <c r="K29" s="359"/>
      <c r="L29" s="359"/>
      <c r="M29" s="359"/>
      <c r="N29" s="359"/>
      <c r="O29" s="359"/>
      <c r="P29" s="359"/>
      <c r="Q29" s="359"/>
      <c r="R29" s="359"/>
      <c r="S29" s="550"/>
      <c r="T29" s="359"/>
      <c r="U29" s="357" t="s">
        <v>363</v>
      </c>
      <c r="V29" s="370"/>
      <c r="W29" s="357" t="s">
        <v>507</v>
      </c>
      <c r="X29" s="357"/>
      <c r="Y29" s="357"/>
      <c r="Z29" s="360"/>
      <c r="AA29" s="131"/>
    </row>
    <row r="30" spans="1:27" ht="15" customHeight="1">
      <c r="A30" s="131"/>
      <c r="B30" s="356"/>
      <c r="C30" s="359"/>
      <c r="D30" s="385"/>
      <c r="E30" s="359"/>
      <c r="F30" s="359"/>
      <c r="G30" s="359"/>
      <c r="H30" s="359"/>
      <c r="I30" s="359"/>
      <c r="J30" s="359"/>
      <c r="K30" s="359"/>
      <c r="L30" s="359"/>
      <c r="M30" s="359"/>
      <c r="N30" s="359"/>
      <c r="O30" s="359"/>
      <c r="P30" s="359"/>
      <c r="Q30" s="359"/>
      <c r="R30" s="359"/>
      <c r="S30" s="550"/>
      <c r="T30" s="359"/>
      <c r="U30" s="458"/>
      <c r="V30" s="370"/>
      <c r="W30" s="350">
        <f>IF(U25="FIJO",J18,F36)</f>
        <v>0</v>
      </c>
      <c r="X30" s="354" t="s">
        <v>508</v>
      </c>
      <c r="Y30" s="350">
        <f>IF(W30=0,0,C27)</f>
        <v>0</v>
      </c>
      <c r="Z30" s="360"/>
      <c r="AA30" s="131"/>
    </row>
    <row r="31" spans="1:27" ht="15" customHeight="1">
      <c r="A31" s="131"/>
      <c r="B31" s="356"/>
      <c r="C31" s="359"/>
      <c r="D31" s="385"/>
      <c r="E31" s="359"/>
      <c r="F31" s="359"/>
      <c r="G31" s="359"/>
      <c r="H31" s="359"/>
      <c r="I31" s="359"/>
      <c r="J31" s="359"/>
      <c r="K31" s="359"/>
      <c r="L31" s="359"/>
      <c r="M31" s="359"/>
      <c r="N31" s="359"/>
      <c r="O31" s="359"/>
      <c r="P31" s="359"/>
      <c r="Q31" s="359"/>
      <c r="R31" s="359"/>
      <c r="S31" s="550"/>
      <c r="T31" s="359"/>
      <c r="U31" s="357" t="s">
        <v>364</v>
      </c>
      <c r="V31" s="370"/>
      <c r="W31" s="357" t="s">
        <v>509</v>
      </c>
      <c r="X31" s="357"/>
      <c r="Y31" s="357"/>
      <c r="Z31" s="360"/>
      <c r="AA31" s="131"/>
    </row>
    <row r="32" spans="1:27" s="87" customFormat="1" ht="15" customHeight="1">
      <c r="A32" s="379"/>
      <c r="B32" s="372"/>
      <c r="C32" s="370"/>
      <c r="D32" s="387"/>
      <c r="E32" s="370"/>
      <c r="F32" s="370"/>
      <c r="G32" s="370"/>
      <c r="H32" s="370"/>
      <c r="I32" s="370"/>
      <c r="J32" s="370"/>
      <c r="K32" s="370"/>
      <c r="L32" s="370"/>
      <c r="M32" s="370"/>
      <c r="N32" s="370"/>
      <c r="O32" s="370"/>
      <c r="P32" s="370"/>
      <c r="Q32" s="370"/>
      <c r="R32" s="370"/>
      <c r="S32" s="550"/>
      <c r="T32" s="370"/>
      <c r="U32" s="458"/>
      <c r="V32" s="370"/>
      <c r="W32" s="350">
        <f>IF(U25="FIJO",0,N36)</f>
        <v>0</v>
      </c>
      <c r="X32" s="354" t="s">
        <v>508</v>
      </c>
      <c r="Y32" s="350">
        <f>IF(N36=0,0,C27)</f>
        <v>0</v>
      </c>
      <c r="Z32" s="371"/>
      <c r="AA32" s="379"/>
    </row>
    <row r="33" spans="1:27" s="80" customFormat="1" ht="15" customHeight="1">
      <c r="A33" s="390"/>
      <c r="B33" s="391"/>
      <c r="C33" s="392"/>
      <c r="D33" s="387"/>
      <c r="E33" s="392"/>
      <c r="F33" s="392"/>
      <c r="G33" s="392"/>
      <c r="H33" s="392"/>
      <c r="I33" s="392"/>
      <c r="J33" s="392"/>
      <c r="K33" s="392"/>
      <c r="L33" s="392"/>
      <c r="M33" s="392"/>
      <c r="N33" s="392"/>
      <c r="O33" s="392"/>
      <c r="P33" s="392"/>
      <c r="Q33" s="348"/>
      <c r="R33" s="384"/>
      <c r="S33" s="392"/>
      <c r="T33" s="392"/>
      <c r="U33" s="357" t="s">
        <v>365</v>
      </c>
      <c r="V33" s="370"/>
      <c r="W33" s="357" t="s">
        <v>510</v>
      </c>
      <c r="X33" s="357"/>
      <c r="Y33" s="357"/>
      <c r="Z33" s="393"/>
      <c r="AA33" s="390"/>
    </row>
    <row r="34" spans="1:27" ht="15" customHeight="1">
      <c r="A34" s="131"/>
      <c r="B34" s="356"/>
      <c r="C34" s="359"/>
      <c r="D34" s="385"/>
      <c r="E34" s="359"/>
      <c r="F34" s="359"/>
      <c r="G34" s="359"/>
      <c r="H34" s="359"/>
      <c r="I34" s="359"/>
      <c r="J34" s="359"/>
      <c r="K34" s="359"/>
      <c r="L34" s="359"/>
      <c r="M34" s="359"/>
      <c r="N34" s="359"/>
      <c r="O34" s="359"/>
      <c r="P34" s="359"/>
      <c r="Q34" s="389" t="s">
        <v>205</v>
      </c>
      <c r="R34" s="388"/>
      <c r="S34" s="359"/>
      <c r="T34" s="359"/>
      <c r="U34" s="458"/>
      <c r="V34" s="370"/>
      <c r="W34" s="350">
        <f>IF(Q33=0,0,J18-(F36+N36))</f>
        <v>0</v>
      </c>
      <c r="X34" s="354" t="s">
        <v>508</v>
      </c>
      <c r="Y34" s="350">
        <f>IF(U25="FIJO",0,Q33)</f>
        <v>0</v>
      </c>
      <c r="Z34" s="360"/>
      <c r="AA34" s="131"/>
    </row>
    <row r="35" spans="1:27" s="87" customFormat="1" ht="12.95" customHeight="1">
      <c r="A35" s="379"/>
      <c r="B35" s="372"/>
      <c r="C35" s="370"/>
      <c r="D35" s="387"/>
      <c r="E35" s="370"/>
      <c r="F35" s="370"/>
      <c r="G35" s="370"/>
      <c r="H35" s="370"/>
      <c r="I35" s="370"/>
      <c r="J35" s="370"/>
      <c r="K35" s="370"/>
      <c r="L35" s="370"/>
      <c r="M35" s="370"/>
      <c r="N35" s="370"/>
      <c r="O35" s="370"/>
      <c r="P35" s="370"/>
      <c r="Q35" s="370"/>
      <c r="R35" s="370"/>
      <c r="S35" s="370"/>
      <c r="T35" s="370"/>
      <c r="U35" s="357" t="s">
        <v>366</v>
      </c>
      <c r="V35" s="370"/>
      <c r="W35" s="357" t="s">
        <v>511</v>
      </c>
      <c r="X35" s="357"/>
      <c r="Y35" s="357"/>
      <c r="Z35" s="371"/>
      <c r="AA35" s="379"/>
    </row>
    <row r="36" spans="1:27" ht="15" customHeight="1">
      <c r="A36" s="131"/>
      <c r="B36" s="356"/>
      <c r="C36" s="383"/>
      <c r="D36" s="385"/>
      <c r="E36" s="359"/>
      <c r="F36" s="348"/>
      <c r="G36" s="370"/>
      <c r="H36" s="394" t="s">
        <v>221</v>
      </c>
      <c r="I36" s="394"/>
      <c r="J36" s="351">
        <f>J18-F36-N36</f>
        <v>0</v>
      </c>
      <c r="K36" s="352"/>
      <c r="L36" s="382" t="s">
        <v>205</v>
      </c>
      <c r="M36" s="359"/>
      <c r="N36" s="348"/>
      <c r="O36" s="359"/>
      <c r="P36" s="359"/>
      <c r="Q36" s="359"/>
      <c r="R36" s="359"/>
      <c r="S36" s="359"/>
      <c r="T36" s="359"/>
      <c r="U36" s="458"/>
      <c r="V36" s="370"/>
      <c r="W36" s="350">
        <f>'SERIES SIN'!S3</f>
        <v>0</v>
      </c>
      <c r="X36" s="354" t="s">
        <v>508</v>
      </c>
      <c r="Y36" s="350">
        <f>IF(U25="FIJO",0,Q21)</f>
        <v>0</v>
      </c>
      <c r="Z36" s="360"/>
      <c r="AA36" s="131"/>
    </row>
    <row r="37" spans="1:27" ht="11.85" customHeight="1">
      <c r="A37" s="131"/>
      <c r="B37" s="356"/>
      <c r="C37" s="383"/>
      <c r="D37" s="385"/>
      <c r="E37" s="359"/>
      <c r="F37" s="388" t="s">
        <v>205</v>
      </c>
      <c r="G37" s="388"/>
      <c r="H37" s="551" t="str">
        <f>IF(U18="","",'SERIES SIN'!R9)</f>
        <v/>
      </c>
      <c r="I37" s="551"/>
      <c r="J37" s="551"/>
      <c r="K37" s="551"/>
      <c r="L37" s="551"/>
      <c r="M37" s="359"/>
      <c r="N37" s="388" t="s">
        <v>205</v>
      </c>
      <c r="O37" s="359"/>
      <c r="P37" s="359"/>
      <c r="Q37" s="359"/>
      <c r="R37" s="359"/>
      <c r="S37" s="359"/>
      <c r="T37" s="359"/>
      <c r="U37" s="359"/>
      <c r="V37" s="359"/>
      <c r="W37" s="359"/>
      <c r="X37" s="359"/>
      <c r="Y37" s="359"/>
      <c r="Z37" s="360"/>
      <c r="AA37" s="131"/>
    </row>
    <row r="38" spans="1:27" ht="5.85" customHeight="1" thickBot="1">
      <c r="A38" s="131"/>
      <c r="B38" s="362"/>
      <c r="C38" s="395"/>
      <c r="D38" s="396"/>
      <c r="E38" s="363"/>
      <c r="F38" s="363"/>
      <c r="G38" s="363"/>
      <c r="H38" s="363"/>
      <c r="I38" s="363"/>
      <c r="J38" s="363"/>
      <c r="K38" s="363"/>
      <c r="L38" s="363"/>
      <c r="M38" s="363"/>
      <c r="N38" s="363"/>
      <c r="O38" s="363"/>
      <c r="P38" s="363"/>
      <c r="Q38" s="363"/>
      <c r="R38" s="363"/>
      <c r="S38" s="363"/>
      <c r="T38" s="363"/>
      <c r="U38" s="363"/>
      <c r="V38" s="363"/>
      <c r="W38" s="363"/>
      <c r="X38" s="363"/>
      <c r="Y38" s="363"/>
      <c r="Z38" s="364"/>
      <c r="AA38" s="131"/>
    </row>
    <row r="39" spans="1:27" s="87" customFormat="1" ht="8.4499999999999993" customHeight="1" thickTop="1">
      <c r="A39" s="379"/>
      <c r="B39" s="379"/>
      <c r="C39" s="397"/>
      <c r="D39" s="398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79"/>
      <c r="P39" s="379"/>
      <c r="Q39" s="379"/>
      <c r="R39" s="379"/>
      <c r="S39" s="397"/>
      <c r="T39" s="379"/>
      <c r="U39" s="379"/>
      <c r="V39" s="379"/>
      <c r="W39" s="379"/>
      <c r="X39" s="379"/>
      <c r="Y39" s="379"/>
      <c r="Z39" s="379"/>
      <c r="AA39" s="379"/>
    </row>
    <row r="40" spans="1:27" ht="15" customHeight="1" thickBot="1">
      <c r="A40" s="131"/>
      <c r="B40" s="542" t="s">
        <v>519</v>
      </c>
      <c r="C40" s="542"/>
      <c r="D40" s="542"/>
      <c r="E40" s="542"/>
      <c r="F40" s="542"/>
      <c r="G40" s="542"/>
      <c r="H40" s="542"/>
      <c r="I40" s="542"/>
      <c r="J40" s="542"/>
      <c r="K40" s="542"/>
      <c r="L40" s="542"/>
      <c r="M40" s="542"/>
      <c r="N40" s="542"/>
      <c r="O40" s="542"/>
      <c r="P40" s="542"/>
      <c r="Q40" s="542"/>
      <c r="R40" s="542"/>
      <c r="S40" s="542"/>
      <c r="T40" s="542"/>
      <c r="U40" s="542"/>
      <c r="V40" s="542"/>
      <c r="W40" s="542"/>
      <c r="X40" s="542"/>
      <c r="Y40" s="542"/>
      <c r="Z40" s="542"/>
      <c r="AA40" s="131"/>
    </row>
    <row r="41" spans="1:27" ht="15" customHeight="1" thickTop="1" thickBot="1">
      <c r="A41" s="131"/>
      <c r="B41" s="466"/>
      <c r="C41" s="467" t="s">
        <v>574</v>
      </c>
      <c r="D41" s="468"/>
      <c r="E41" s="469"/>
      <c r="F41" s="469"/>
      <c r="G41" s="469"/>
      <c r="H41" s="469"/>
      <c r="I41" s="469"/>
      <c r="J41" s="469"/>
      <c r="K41" s="469"/>
      <c r="L41" s="469"/>
      <c r="M41" s="469"/>
      <c r="N41" s="469"/>
      <c r="O41" s="469"/>
      <c r="P41" s="469"/>
      <c r="Q41" s="469"/>
      <c r="R41" s="469"/>
      <c r="S41" s="469"/>
      <c r="T41" s="469"/>
      <c r="U41" s="468"/>
      <c r="V41" s="468"/>
      <c r="W41" s="468"/>
      <c r="X41" s="468"/>
      <c r="Y41" s="468"/>
      <c r="Z41" s="470"/>
      <c r="AA41" s="131"/>
    </row>
    <row r="42" spans="1:27" ht="15" customHeight="1">
      <c r="A42" s="131"/>
      <c r="B42" s="503"/>
      <c r="C42" s="504"/>
      <c r="D42" s="505"/>
      <c r="E42" s="506"/>
      <c r="F42" s="506"/>
      <c r="G42" s="506"/>
      <c r="H42" s="506"/>
      <c r="I42" s="506"/>
      <c r="J42" s="506"/>
      <c r="K42" s="506"/>
      <c r="L42" s="506"/>
      <c r="M42" s="506"/>
      <c r="N42" s="506"/>
      <c r="O42" s="506"/>
      <c r="P42" s="506"/>
      <c r="Q42" s="506"/>
      <c r="R42" s="506"/>
      <c r="S42" s="506"/>
      <c r="T42" s="506"/>
      <c r="U42" s="505"/>
      <c r="V42" s="505"/>
      <c r="W42" s="505"/>
      <c r="X42" s="505"/>
      <c r="Y42" s="505"/>
      <c r="Z42" s="507"/>
      <c r="AA42" s="131"/>
    </row>
    <row r="43" spans="1:27" ht="11.25" customHeight="1">
      <c r="A43" s="131"/>
      <c r="B43" s="356"/>
      <c r="C43" s="359"/>
      <c r="D43" s="357" t="s">
        <v>167</v>
      </c>
      <c r="E43" s="359"/>
      <c r="F43" s="359"/>
      <c r="G43" s="359"/>
      <c r="H43" s="357" t="s">
        <v>170</v>
      </c>
      <c r="I43" s="357"/>
      <c r="J43" s="359"/>
      <c r="K43" s="359"/>
      <c r="L43" s="359"/>
      <c r="M43" s="359"/>
      <c r="N43" s="357" t="s">
        <v>506</v>
      </c>
      <c r="O43" s="359"/>
      <c r="P43" s="359"/>
      <c r="Q43" s="359"/>
      <c r="R43" s="359"/>
      <c r="S43" s="359"/>
      <c r="T43" s="359"/>
      <c r="U43" s="357" t="s">
        <v>520</v>
      </c>
      <c r="V43" s="359"/>
      <c r="W43" s="359"/>
      <c r="X43" s="359"/>
      <c r="Y43" s="359"/>
      <c r="Z43" s="360"/>
      <c r="AA43" s="131"/>
    </row>
    <row r="44" spans="1:27" s="87" customFormat="1" ht="15" customHeight="1">
      <c r="A44" s="379"/>
      <c r="B44" s="372"/>
      <c r="C44" s="370"/>
      <c r="D44" s="524"/>
      <c r="E44" s="525"/>
      <c r="F44" s="526"/>
      <c r="G44" s="401"/>
      <c r="H44" s="524"/>
      <c r="I44" s="525"/>
      <c r="J44" s="525"/>
      <c r="K44" s="525"/>
      <c r="L44" s="526"/>
      <c r="M44" s="370"/>
      <c r="N44" s="524"/>
      <c r="O44" s="525"/>
      <c r="P44" s="526"/>
      <c r="Q44" s="370"/>
      <c r="R44" s="370"/>
      <c r="S44" s="370"/>
      <c r="T44" s="370"/>
      <c r="U44" s="527" t="str">
        <f>IF(D44="","",VIDRIO2!CH17)</f>
        <v/>
      </c>
      <c r="V44" s="528"/>
      <c r="W44" s="529"/>
      <c r="X44" s="370"/>
      <c r="Y44" s="370"/>
      <c r="Z44" s="371"/>
      <c r="AA44" s="379"/>
    </row>
    <row r="45" spans="1:27" s="87" customFormat="1" ht="11.25" customHeight="1">
      <c r="A45" s="379"/>
      <c r="B45" s="356"/>
      <c r="C45" s="359"/>
      <c r="D45" s="359"/>
      <c r="E45" s="359"/>
      <c r="F45" s="359"/>
      <c r="G45" s="359"/>
      <c r="H45" s="359"/>
      <c r="I45" s="359"/>
      <c r="J45" s="359"/>
      <c r="K45" s="359"/>
      <c r="L45" s="359"/>
      <c r="M45" s="359"/>
      <c r="N45" s="359"/>
      <c r="O45" s="359"/>
      <c r="P45" s="359"/>
      <c r="Q45" s="359"/>
      <c r="R45" s="359"/>
      <c r="S45" s="359"/>
      <c r="T45" s="359"/>
      <c r="U45" s="530"/>
      <c r="V45" s="531"/>
      <c r="W45" s="532"/>
      <c r="X45" s="359"/>
      <c r="Y45" s="359"/>
      <c r="Z45" s="360"/>
      <c r="AA45" s="379"/>
    </row>
    <row r="46" spans="1:27" s="87" customFormat="1" ht="15" customHeight="1">
      <c r="A46" s="379"/>
      <c r="B46" s="356"/>
      <c r="C46" s="370"/>
      <c r="D46" s="370"/>
      <c r="E46" s="370"/>
      <c r="F46" s="402"/>
      <c r="G46" s="403"/>
      <c r="H46" s="404"/>
      <c r="I46" s="464"/>
      <c r="J46" s="402"/>
      <c r="K46" s="405"/>
      <c r="L46" s="405"/>
      <c r="M46" s="406"/>
      <c r="N46" s="402"/>
      <c r="O46" s="370"/>
      <c r="P46" s="370"/>
      <c r="Q46" s="370"/>
      <c r="R46" s="359"/>
      <c r="S46" s="359"/>
      <c r="T46" s="359"/>
      <c r="U46" s="567" t="s">
        <v>124</v>
      </c>
      <c r="V46" s="567"/>
      <c r="W46" s="567"/>
      <c r="X46" s="359"/>
      <c r="Y46" s="359"/>
      <c r="Z46" s="360"/>
      <c r="AA46" s="379"/>
    </row>
    <row r="47" spans="1:27" s="87" customFormat="1" ht="11.25" customHeight="1">
      <c r="A47" s="379"/>
      <c r="B47" s="356"/>
      <c r="C47" s="359"/>
      <c r="D47" s="543" t="s">
        <v>5</v>
      </c>
      <c r="E47" s="359"/>
      <c r="F47" s="402"/>
      <c r="G47" s="403"/>
      <c r="H47" s="404"/>
      <c r="I47" s="464"/>
      <c r="J47" s="402"/>
      <c r="K47" s="359"/>
      <c r="L47" s="359"/>
      <c r="M47" s="406"/>
      <c r="N47" s="402"/>
      <c r="O47" s="359"/>
      <c r="P47" s="543" t="s">
        <v>6</v>
      </c>
      <c r="Q47" s="359"/>
      <c r="R47" s="407"/>
      <c r="S47" s="359"/>
      <c r="T47" s="359"/>
      <c r="U47" s="357" t="s">
        <v>191</v>
      </c>
      <c r="V47" s="359"/>
      <c r="W47" s="359"/>
      <c r="X47" s="359"/>
      <c r="Y47" s="359"/>
      <c r="Z47" s="360"/>
      <c r="AA47" s="379"/>
    </row>
    <row r="48" spans="1:27" ht="15" customHeight="1" thickBot="1">
      <c r="A48" s="131"/>
      <c r="B48" s="356"/>
      <c r="C48" s="359"/>
      <c r="D48" s="543"/>
      <c r="E48" s="359"/>
      <c r="F48" s="402"/>
      <c r="G48" s="403"/>
      <c r="H48" s="404"/>
      <c r="I48" s="465"/>
      <c r="J48" s="402"/>
      <c r="K48" s="359"/>
      <c r="L48" s="359"/>
      <c r="M48" s="406"/>
      <c r="N48" s="402"/>
      <c r="O48" s="359"/>
      <c r="P48" s="543"/>
      <c r="Q48" s="359"/>
      <c r="R48" s="359"/>
      <c r="S48" s="359"/>
      <c r="T48" s="359"/>
      <c r="U48" s="544" t="s">
        <v>606</v>
      </c>
      <c r="V48" s="545"/>
      <c r="W48" s="546"/>
      <c r="X48" s="359"/>
      <c r="Y48" s="359"/>
      <c r="Z48" s="360"/>
      <c r="AA48" s="131"/>
    </row>
    <row r="49" spans="1:27" s="87" customFormat="1" ht="11.25" customHeight="1" thickTop="1" thickBot="1">
      <c r="A49" s="379"/>
      <c r="B49" s="356"/>
      <c r="C49" s="407"/>
      <c r="D49" s="543"/>
      <c r="E49" s="359"/>
      <c r="F49" s="402"/>
      <c r="G49" s="408"/>
      <c r="H49" s="409"/>
      <c r="I49" s="410"/>
      <c r="J49" s="402"/>
      <c r="K49" s="408"/>
      <c r="L49" s="409"/>
      <c r="M49" s="410"/>
      <c r="N49" s="402"/>
      <c r="O49" s="359"/>
      <c r="P49" s="543"/>
      <c r="Q49" s="407"/>
      <c r="R49" s="359"/>
      <c r="S49" s="359"/>
      <c r="T49" s="359"/>
      <c r="U49" s="357" t="s">
        <v>213</v>
      </c>
      <c r="V49" s="359"/>
      <c r="W49" s="359"/>
      <c r="X49" s="359"/>
      <c r="Y49" s="359"/>
      <c r="Z49" s="360"/>
      <c r="AA49" s="379"/>
    </row>
    <row r="50" spans="1:27" ht="15" customHeight="1" thickTop="1">
      <c r="A50" s="131"/>
      <c r="B50" s="356"/>
      <c r="C50" s="359"/>
      <c r="D50" s="543"/>
      <c r="E50" s="359"/>
      <c r="F50" s="402"/>
      <c r="G50" s="411"/>
      <c r="H50" s="411"/>
      <c r="I50" s="411"/>
      <c r="J50" s="402"/>
      <c r="K50" s="411"/>
      <c r="L50" s="411"/>
      <c r="M50" s="411"/>
      <c r="N50" s="402"/>
      <c r="O50" s="359"/>
      <c r="P50" s="543"/>
      <c r="Q50" s="359"/>
      <c r="R50" s="359"/>
      <c r="S50" s="359"/>
      <c r="T50" s="359"/>
      <c r="U50" s="547">
        <f>VIDRIO2!CL17</f>
        <v>0</v>
      </c>
      <c r="V50" s="548"/>
      <c r="W50" s="549"/>
      <c r="X50" s="359"/>
      <c r="Y50" s="359"/>
      <c r="Z50" s="360"/>
      <c r="AA50" s="131"/>
    </row>
    <row r="51" spans="1:27" ht="11.25" customHeight="1">
      <c r="A51" s="131"/>
      <c r="B51" s="356"/>
      <c r="C51" s="359"/>
      <c r="D51" s="359"/>
      <c r="E51" s="359"/>
      <c r="F51" s="412"/>
      <c r="G51" s="413"/>
      <c r="H51" s="413"/>
      <c r="I51" s="413"/>
      <c r="J51" s="412"/>
      <c r="K51" s="413"/>
      <c r="L51" s="413"/>
      <c r="M51" s="413"/>
      <c r="N51" s="412"/>
      <c r="O51" s="359"/>
      <c r="P51" s="359"/>
      <c r="Q51" s="359"/>
      <c r="R51" s="359"/>
      <c r="S51" s="359"/>
      <c r="T51" s="359"/>
      <c r="U51" s="533" t="str">
        <f>VIDRIO2!CM17</f>
        <v>(Según Norma UNE EN 10077-2: 2008)</v>
      </c>
      <c r="V51" s="533"/>
      <c r="W51" s="533"/>
      <c r="X51" s="533"/>
      <c r="Y51" s="533"/>
      <c r="Z51" s="360"/>
      <c r="AA51" s="131"/>
    </row>
    <row r="52" spans="1:27" ht="11.85" customHeight="1">
      <c r="A52" s="131"/>
      <c r="B52" s="356"/>
      <c r="C52" s="359"/>
      <c r="D52" s="359"/>
      <c r="E52" s="359"/>
      <c r="F52" s="388" t="s">
        <v>493</v>
      </c>
      <c r="G52" s="359"/>
      <c r="H52" s="388" t="s">
        <v>496</v>
      </c>
      <c r="I52" s="388"/>
      <c r="J52" s="388" t="s">
        <v>494</v>
      </c>
      <c r="K52" s="388"/>
      <c r="L52" s="388" t="s">
        <v>505</v>
      </c>
      <c r="M52" s="414"/>
      <c r="N52" s="388" t="s">
        <v>497</v>
      </c>
      <c r="O52" s="359"/>
      <c r="P52" s="359"/>
      <c r="Q52" s="359"/>
      <c r="R52" s="359"/>
      <c r="S52" s="359"/>
      <c r="T52" s="359"/>
      <c r="U52" s="533"/>
      <c r="V52" s="533"/>
      <c r="W52" s="533"/>
      <c r="X52" s="533"/>
      <c r="Y52" s="533"/>
      <c r="Z52" s="360"/>
      <c r="AA52" s="131"/>
    </row>
    <row r="53" spans="1:27" ht="15" customHeight="1">
      <c r="A53" s="131"/>
      <c r="B53" s="372"/>
      <c r="C53" s="359"/>
      <c r="D53" s="359"/>
      <c r="E53" s="359"/>
      <c r="F53" s="353"/>
      <c r="G53" s="359"/>
      <c r="H53" s="353"/>
      <c r="I53" s="359"/>
      <c r="J53" s="353"/>
      <c r="K53" s="359"/>
      <c r="L53" s="353"/>
      <c r="M53" s="359"/>
      <c r="N53" s="353"/>
      <c r="O53" s="359"/>
      <c r="P53" s="359"/>
      <c r="Q53" s="370"/>
      <c r="R53" s="370"/>
      <c r="S53" s="370"/>
      <c r="T53" s="370"/>
      <c r="U53" s="533"/>
      <c r="V53" s="533"/>
      <c r="W53" s="533"/>
      <c r="X53" s="533"/>
      <c r="Y53" s="533"/>
      <c r="Z53" s="371"/>
      <c r="AA53" s="131"/>
    </row>
    <row r="54" spans="1:27" ht="11.25" customHeight="1" thickBot="1">
      <c r="A54" s="131"/>
      <c r="B54" s="362"/>
      <c r="C54" s="363"/>
      <c r="D54" s="363"/>
      <c r="E54" s="363"/>
      <c r="F54" s="363"/>
      <c r="G54" s="363"/>
      <c r="H54" s="363"/>
      <c r="I54" s="363"/>
      <c r="J54" s="363"/>
      <c r="K54" s="363"/>
      <c r="L54" s="363"/>
      <c r="M54" s="363"/>
      <c r="N54" s="363"/>
      <c r="O54" s="363"/>
      <c r="P54" s="363"/>
      <c r="Q54" s="363"/>
      <c r="R54" s="363"/>
      <c r="S54" s="363"/>
      <c r="T54" s="363"/>
      <c r="U54" s="534"/>
      <c r="V54" s="534"/>
      <c r="W54" s="534"/>
      <c r="X54" s="534"/>
      <c r="Y54" s="534"/>
      <c r="Z54" s="364"/>
      <c r="AA54" s="131"/>
    </row>
    <row r="55" spans="1:27" ht="5.25" customHeight="1" thickTop="1" thickBot="1">
      <c r="A55" s="131"/>
      <c r="AA55" s="131"/>
    </row>
    <row r="56" spans="1:27" ht="15" customHeight="1" thickTop="1">
      <c r="A56" s="131"/>
      <c r="B56" s="471"/>
      <c r="C56" s="400" t="s">
        <v>604</v>
      </c>
      <c r="D56" s="472"/>
      <c r="E56" s="472"/>
      <c r="F56" s="472"/>
      <c r="G56" s="472"/>
      <c r="H56" s="472"/>
      <c r="I56" s="472"/>
      <c r="J56" s="472"/>
      <c r="K56" s="472"/>
      <c r="L56" s="472"/>
      <c r="M56" s="472"/>
      <c r="N56" s="472"/>
      <c r="O56" s="472"/>
      <c r="P56" s="472"/>
      <c r="Q56" s="472"/>
      <c r="R56" s="472"/>
      <c r="S56" s="473" t="s">
        <v>346</v>
      </c>
      <c r="T56" s="472"/>
      <c r="U56" s="472"/>
      <c r="V56" s="472"/>
      <c r="W56" s="473" t="s">
        <v>520</v>
      </c>
      <c r="X56" s="472"/>
      <c r="Y56" s="472"/>
      <c r="Z56" s="474"/>
      <c r="AA56" s="131"/>
    </row>
    <row r="57" spans="1:27" ht="11.85" customHeight="1">
      <c r="A57" s="131"/>
      <c r="B57" s="356"/>
      <c r="C57" s="357" t="s">
        <v>573</v>
      </c>
      <c r="D57" s="359"/>
      <c r="E57" s="359"/>
      <c r="F57" s="359"/>
      <c r="G57" s="359"/>
      <c r="H57" s="359"/>
      <c r="I57" s="359"/>
      <c r="J57" s="359"/>
      <c r="K57" s="359"/>
      <c r="L57" s="359"/>
      <c r="M57" s="359"/>
      <c r="N57" s="359"/>
      <c r="O57" s="359"/>
      <c r="P57" s="359"/>
      <c r="Q57" s="359"/>
      <c r="R57" s="359"/>
      <c r="S57" s="512"/>
      <c r="T57" s="513"/>
      <c r="U57" s="514"/>
      <c r="V57" s="359"/>
      <c r="W57" s="518"/>
      <c r="X57" s="519"/>
      <c r="Y57" s="520"/>
      <c r="Z57" s="360"/>
      <c r="AA57" s="131"/>
    </row>
    <row r="58" spans="1:27" s="87" customFormat="1" ht="15" customHeight="1">
      <c r="A58" s="379"/>
      <c r="B58" s="372"/>
      <c r="C58" s="509"/>
      <c r="D58" s="510"/>
      <c r="E58" s="510"/>
      <c r="F58" s="510"/>
      <c r="G58" s="510"/>
      <c r="H58" s="510"/>
      <c r="I58" s="510"/>
      <c r="J58" s="510"/>
      <c r="K58" s="510"/>
      <c r="L58" s="510"/>
      <c r="M58" s="510"/>
      <c r="N58" s="510"/>
      <c r="O58" s="510"/>
      <c r="P58" s="510"/>
      <c r="Q58" s="511"/>
      <c r="R58" s="359"/>
      <c r="S58" s="515"/>
      <c r="T58" s="516"/>
      <c r="U58" s="517"/>
      <c r="V58" s="370"/>
      <c r="W58" s="521"/>
      <c r="X58" s="522"/>
      <c r="Y58" s="523"/>
      <c r="Z58" s="371"/>
      <c r="AA58" s="379"/>
    </row>
    <row r="59" spans="1:27" ht="11.25" customHeight="1" thickBot="1">
      <c r="A59" s="131"/>
      <c r="B59" s="377"/>
      <c r="C59" s="399"/>
      <c r="D59" s="399"/>
      <c r="E59" s="399"/>
      <c r="F59" s="399"/>
      <c r="G59" s="399"/>
      <c r="H59" s="399"/>
      <c r="I59" s="399"/>
      <c r="J59" s="399"/>
      <c r="K59" s="399"/>
      <c r="L59" s="399"/>
      <c r="M59" s="399"/>
      <c r="N59" s="399"/>
      <c r="O59" s="399"/>
      <c r="P59" s="399"/>
      <c r="Q59" s="363"/>
      <c r="R59" s="363"/>
      <c r="S59" s="363"/>
      <c r="T59" s="363"/>
      <c r="U59" s="363"/>
      <c r="V59" s="363"/>
      <c r="W59" s="508" t="s">
        <v>124</v>
      </c>
      <c r="X59" s="508"/>
      <c r="Y59" s="508"/>
      <c r="Z59" s="376"/>
      <c r="AA59" s="131"/>
    </row>
    <row r="60" spans="1:27" ht="16.350000000000001" customHeight="1" thickTop="1">
      <c r="A60" s="131"/>
      <c r="B60" s="131"/>
      <c r="C60" s="131"/>
      <c r="D60" s="131"/>
      <c r="E60" s="131"/>
      <c r="F60" s="131"/>
      <c r="G60" s="131"/>
      <c r="H60" s="131"/>
      <c r="I60" s="131"/>
      <c r="J60" s="131"/>
      <c r="K60" s="131"/>
      <c r="L60" s="131"/>
      <c r="M60" s="131"/>
      <c r="N60" s="131"/>
      <c r="O60" s="137"/>
      <c r="P60" s="131"/>
      <c r="Q60" s="131"/>
      <c r="R60" s="131"/>
      <c r="S60" s="131"/>
      <c r="T60" s="131"/>
      <c r="U60" s="131"/>
      <c r="V60" s="131"/>
      <c r="W60" s="131"/>
      <c r="X60" s="131"/>
      <c r="Y60" s="131"/>
      <c r="Z60" s="131"/>
      <c r="AA60" s="131"/>
    </row>
    <row r="61" spans="1:27" ht="11.85" customHeight="1">
      <c r="A61" s="131"/>
      <c r="B61" s="131"/>
      <c r="C61" s="131"/>
      <c r="D61" s="131"/>
      <c r="E61" s="131"/>
      <c r="F61" s="131"/>
      <c r="G61" s="131"/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1"/>
      <c r="T61" s="131"/>
      <c r="U61" s="131"/>
      <c r="V61" s="131"/>
      <c r="W61" s="131"/>
      <c r="X61" s="131"/>
      <c r="Y61" s="131"/>
      <c r="Z61" s="131"/>
      <c r="AA61" s="131"/>
    </row>
    <row r="62" spans="1:27" ht="16.350000000000001" customHeight="1">
      <c r="A62" s="131"/>
      <c r="B62" s="131"/>
      <c r="C62" s="131"/>
      <c r="D62" s="131"/>
      <c r="E62" s="131"/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1"/>
      <c r="T62" s="131"/>
      <c r="U62" s="131"/>
      <c r="V62" s="131"/>
      <c r="W62" s="131"/>
      <c r="X62" s="131"/>
      <c r="Y62" s="131"/>
      <c r="Z62" s="131"/>
      <c r="AA62" s="131"/>
    </row>
    <row r="63" spans="1:27" ht="11.85" customHeight="1">
      <c r="A63" s="131"/>
      <c r="AA63" s="131"/>
    </row>
    <row r="65" ht="17.100000000000001" customHeight="1"/>
    <row r="66" ht="11.85" customHeight="1"/>
  </sheetData>
  <sheetProtection algorithmName="SHA-512" hashValue="KrmbBP9Fs5HWFmcjmqeaQNf/ytoOqJnz8WxNqQTmArrczgGH2y5ZpEtETwZO3wd4hYRTc5UkOMfr2ONF4fGX9Q==" saltValue="uXN6NfxpuUO2Pmkds7DM5g==" spinCount="100000" sheet="1" objects="1" scenarios="1" selectLockedCells="1"/>
  <customSheetViews>
    <customSheetView guid="{9633098C-10ED-422F-91DC-BBC3EF37A58B}" showPageBreaks="1" showGridLines="0" showRowCol="0" printArea="1" view="pageLayout" showRuler="0" topLeftCell="A10">
      <selection activeCell="J14" sqref="J14"/>
      <pageMargins left="0.86614173228346458" right="0.39370078740157483" top="0.39370078740157483" bottom="0.39370078740157483" header="0.31496062992125984" footer="0.31496062992125984"/>
      <pageSetup paperSize="9" orientation="portrait" r:id="rId1"/>
    </customSheetView>
  </customSheetViews>
  <mergeCells count="39">
    <mergeCell ref="B2:F2"/>
    <mergeCell ref="V2:Z2"/>
    <mergeCell ref="G2:U2"/>
    <mergeCell ref="U46:W46"/>
    <mergeCell ref="D44:F44"/>
    <mergeCell ref="H13:J13"/>
    <mergeCell ref="H11:J11"/>
    <mergeCell ref="L13:N13"/>
    <mergeCell ref="U25:Y25"/>
    <mergeCell ref="C6:H6"/>
    <mergeCell ref="U6:W6"/>
    <mergeCell ref="B4:Z4"/>
    <mergeCell ref="J6:S6"/>
    <mergeCell ref="B9:Z9"/>
    <mergeCell ref="P11:R12"/>
    <mergeCell ref="P13:R13"/>
    <mergeCell ref="S22:S32"/>
    <mergeCell ref="H37:L37"/>
    <mergeCell ref="U20:Y23"/>
    <mergeCell ref="U18:Y18"/>
    <mergeCell ref="U27:Y27"/>
    <mergeCell ref="B40:Z40"/>
    <mergeCell ref="D47:D50"/>
    <mergeCell ref="P47:P50"/>
    <mergeCell ref="U48:W48"/>
    <mergeCell ref="U50:W50"/>
    <mergeCell ref="C11:F11"/>
    <mergeCell ref="C13:F13"/>
    <mergeCell ref="L11:N11"/>
    <mergeCell ref="U11:Y11"/>
    <mergeCell ref="B16:Z16"/>
    <mergeCell ref="W59:Y59"/>
    <mergeCell ref="C58:Q58"/>
    <mergeCell ref="S57:U58"/>
    <mergeCell ref="W57:Y58"/>
    <mergeCell ref="H44:L44"/>
    <mergeCell ref="N44:P44"/>
    <mergeCell ref="U44:W45"/>
    <mergeCell ref="U51:Y54"/>
  </mergeCells>
  <conditionalFormatting sqref="G46:O53">
    <cfRule type="expression" dxfId="14" priority="33">
      <formula>($D$44="Monolitico")</formula>
    </cfRule>
  </conditionalFormatting>
  <conditionalFormatting sqref="K46:N53">
    <cfRule type="expression" dxfId="13" priority="40">
      <formula>($D$44&lt;&gt;"Triple Vidrio")</formula>
    </cfRule>
  </conditionalFormatting>
  <conditionalFormatting sqref="G46:G48">
    <cfRule type="expression" dxfId="12" priority="44">
      <formula>($H$44="Normal")</formula>
    </cfRule>
  </conditionalFormatting>
  <conditionalFormatting sqref="M46:M48">
    <cfRule type="expression" dxfId="11" priority="45">
      <formula>($H$44&lt;&gt;"2 Capas bajo emisivas")</formula>
    </cfRule>
  </conditionalFormatting>
  <conditionalFormatting sqref="I46:I48">
    <cfRule type="expression" dxfId="10" priority="1">
      <formula>($D$44="Triple Vidrio")</formula>
    </cfRule>
    <cfRule type="expression" dxfId="9" priority="2">
      <formula>($H$44&lt;&gt;"2 Capas bajo emisivas")</formula>
    </cfRule>
  </conditionalFormatting>
  <dataValidations count="3">
    <dataValidation type="list" allowBlank="1" showInputMessage="1" showErrorMessage="1" sqref="U18">
      <formula1>Lista</formula1>
    </dataValidation>
    <dataValidation type="list" allowBlank="1" showInputMessage="1" showErrorMessage="1" sqref="U25:V25">
      <formula1>Hojas</formula1>
    </dataValidation>
    <dataValidation type="list" allowBlank="1" showInputMessage="1" showErrorMessage="1" sqref="U27:V27">
      <formula1>CAJON</formula1>
    </dataValidation>
  </dataValidations>
  <pageMargins left="0.86614173228346458" right="0.39370078740157483" top="0.39370078740157483" bottom="0.39370078740157483" header="0.31496062992125984" footer="0.31496062992125984"/>
  <pageSetup paperSize="9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VIDRIO2!CF3:CF4</xm:f>
          </x14:formula1>
          <xm:sqref>U48</xm:sqref>
        </x14:dataValidation>
        <x14:dataValidation type="list" errorStyle="warning" allowBlank="1" showInputMessage="1" showErrorMessage="1" error="NO PERMITIDO">
          <x14:formula1>
            <xm:f>VIDRIO2!BY3:BY5</xm:f>
          </x14:formula1>
          <xm:sqref>H44:I44</xm:sqref>
        </x14:dataValidation>
        <x14:dataValidation type="list" errorStyle="warning" allowBlank="1" showInputMessage="1" showErrorMessage="1" error="NO PERMITIDO">
          <x14:formula1>
            <xm:f>VIDRIO2!BZ3:BZ6</xm:f>
          </x14:formula1>
          <xm:sqref>N44</xm:sqref>
        </x14:dataValidation>
        <x14:dataValidation type="list" allowBlank="1" showInputMessage="1" showErrorMessage="1">
          <x14:formula1>
            <xm:f>VIDRIO2!BW3:BW5</xm:f>
          </x14:formula1>
          <xm:sqref>D44</xm:sqref>
        </x14:dataValidation>
        <x14:dataValidation type="list" errorStyle="warning" allowBlank="1" showInputMessage="1" showErrorMessage="1" error="NO PERMITIDO">
          <x14:formula1>
            <xm:f>VIDRIO2!CA3:CA13</xm:f>
          </x14:formula1>
          <xm:sqref>N53 J53</xm:sqref>
        </x14:dataValidation>
        <x14:dataValidation type="list" errorStyle="warning" allowBlank="1" showInputMessage="1" showErrorMessage="1" error="NO PERMITIDO">
          <x14:formula1>
            <xm:f>VIDRIO2!CB3:CB12</xm:f>
          </x14:formula1>
          <xm:sqref>L53 H53</xm:sqref>
        </x14:dataValidation>
        <x14:dataValidation type="list" allowBlank="1" showInputMessage="1" showErrorMessage="1">
          <x14:formula1>
            <xm:f>GRADOS!A4:A64</xm:f>
          </x14:formula1>
          <xm:sqref>U11</xm:sqref>
        </x14:dataValidation>
        <x14:dataValidation type="list" allowBlank="1" showInputMessage="1" showErrorMessage="1">
          <x14:formula1>
            <xm:f>'TABLAS U'!J5:J10</xm:f>
          </x14:formula1>
          <xm:sqref>C13:C14</xm:sqref>
        </x14:dataValidation>
        <x14:dataValidation type="list" allowBlank="1" showInputMessage="1" showErrorMessage="1">
          <x14:formula1>
            <xm:f>'TABLAS U'!J14:J19</xm:f>
          </x14:formula1>
          <xm:sqref>H13:H14</xm:sqref>
        </x14:dataValidation>
        <x14:dataValidation type="list" allowBlank="1" showInputMessage="1" showErrorMessage="1">
          <x14:formula1>
            <xm:f>'TABLAS U'!A6:A57</xm:f>
          </x14:formula1>
          <xm:sqref>C11</xm:sqref>
        </x14:dataValidation>
        <x14:dataValidation type="list" allowBlank="1" showInputMessage="1" showErrorMessage="1">
          <x14:formula1>
            <xm:f>'TABLAS U'!J22:J24</xm:f>
          </x14:formula1>
          <xm:sqref>L13:L14</xm:sqref>
        </x14:dataValidation>
        <x14:dataValidation type="list" errorStyle="warning" showInputMessage="1" showErrorMessage="1" error="NO PERMITIDO">
          <x14:formula1>
            <xm:f>VIDRIO2!CA3:CA13</xm:f>
          </x14:formula1>
          <xm:sqref>F53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G27"/>
  <sheetViews>
    <sheetView workbookViewId="0">
      <selection activeCell="D29" sqref="D29"/>
    </sheetView>
  </sheetViews>
  <sheetFormatPr baseColWidth="10" defaultRowHeight="15"/>
  <cols>
    <col min="2" max="2" width="55.28515625" bestFit="1" customWidth="1"/>
  </cols>
  <sheetData>
    <row r="1" spans="1:7">
      <c r="G1" s="1"/>
    </row>
    <row r="2" spans="1:7" ht="15.75" thickBot="1">
      <c r="G2" s="1"/>
    </row>
    <row r="3" spans="1:7" ht="15.75" thickBot="1">
      <c r="A3" s="109" t="s">
        <v>254</v>
      </c>
      <c r="B3" s="109"/>
      <c r="C3" s="109" t="s">
        <v>260</v>
      </c>
      <c r="D3" s="109" t="s">
        <v>261</v>
      </c>
      <c r="E3" s="109" t="s">
        <v>262</v>
      </c>
      <c r="F3" s="109" t="s">
        <v>349</v>
      </c>
    </row>
    <row r="4" spans="1:7">
      <c r="A4" s="16" t="s">
        <v>15</v>
      </c>
      <c r="B4" s="110" t="s">
        <v>266</v>
      </c>
      <c r="C4" s="111">
        <v>4</v>
      </c>
      <c r="D4" s="111" t="s">
        <v>263</v>
      </c>
      <c r="E4" s="112" t="s">
        <v>264</v>
      </c>
      <c r="F4" s="112" t="s">
        <v>350</v>
      </c>
    </row>
    <row r="5" spans="1:7">
      <c r="A5" s="16" t="s">
        <v>8</v>
      </c>
      <c r="B5" s="96" t="s">
        <v>271</v>
      </c>
      <c r="C5" s="97">
        <v>4</v>
      </c>
      <c r="D5" s="97" t="s">
        <v>272</v>
      </c>
      <c r="E5" s="113" t="s">
        <v>39</v>
      </c>
      <c r="F5" s="113" t="s">
        <v>350</v>
      </c>
    </row>
    <row r="6" spans="1:7">
      <c r="A6" s="16" t="s">
        <v>14</v>
      </c>
      <c r="B6" s="96" t="s">
        <v>271</v>
      </c>
      <c r="C6" s="97">
        <v>4</v>
      </c>
      <c r="D6" s="97" t="s">
        <v>273</v>
      </c>
      <c r="E6" s="113" t="s">
        <v>39</v>
      </c>
      <c r="F6" s="113" t="s">
        <v>350</v>
      </c>
    </row>
    <row r="7" spans="1:7">
      <c r="A7" s="16" t="s">
        <v>17</v>
      </c>
      <c r="B7" s="96" t="s">
        <v>274</v>
      </c>
      <c r="C7" s="97">
        <v>4</v>
      </c>
      <c r="D7" s="97" t="s">
        <v>272</v>
      </c>
      <c r="E7" s="113" t="s">
        <v>264</v>
      </c>
      <c r="F7" s="113" t="s">
        <v>350</v>
      </c>
    </row>
    <row r="8" spans="1:7">
      <c r="A8" s="16" t="s">
        <v>16</v>
      </c>
      <c r="B8" s="96" t="s">
        <v>274</v>
      </c>
      <c r="C8" s="97">
        <v>4</v>
      </c>
      <c r="D8" s="97" t="s">
        <v>272</v>
      </c>
      <c r="E8" s="113" t="s">
        <v>264</v>
      </c>
      <c r="F8" s="113" t="s">
        <v>350</v>
      </c>
    </row>
    <row r="9" spans="1:7">
      <c r="A9" s="16" t="s">
        <v>128</v>
      </c>
      <c r="B9" s="96" t="s">
        <v>275</v>
      </c>
      <c r="C9" s="97">
        <v>3</v>
      </c>
      <c r="D9" s="97" t="s">
        <v>276</v>
      </c>
      <c r="E9" s="113" t="s">
        <v>264</v>
      </c>
      <c r="F9" s="113"/>
    </row>
    <row r="10" spans="1:7">
      <c r="A10" s="16" t="s">
        <v>129</v>
      </c>
      <c r="B10" s="96" t="s">
        <v>277</v>
      </c>
      <c r="C10" s="97">
        <v>3</v>
      </c>
      <c r="D10" s="97" t="s">
        <v>276</v>
      </c>
      <c r="E10" s="113" t="s">
        <v>278</v>
      </c>
      <c r="F10" s="113"/>
    </row>
    <row r="11" spans="1:7" ht="15.75" thickBot="1">
      <c r="A11" s="17" t="s">
        <v>130</v>
      </c>
      <c r="B11" s="114" t="s">
        <v>279</v>
      </c>
      <c r="C11" s="115">
        <v>4</v>
      </c>
      <c r="D11" s="115" t="s">
        <v>280</v>
      </c>
      <c r="E11" s="116" t="s">
        <v>47</v>
      </c>
      <c r="F11" s="116"/>
    </row>
    <row r="12" spans="1:7">
      <c r="C12" s="1"/>
      <c r="D12" s="1"/>
      <c r="E12" s="1"/>
    </row>
    <row r="13" spans="1:7">
      <c r="C13" s="1"/>
      <c r="D13" s="1"/>
      <c r="E13" s="1"/>
    </row>
    <row r="14" spans="1:7">
      <c r="C14" s="1"/>
      <c r="D14" s="1"/>
      <c r="E14" s="1"/>
    </row>
    <row r="15" spans="1:7">
      <c r="C15" s="1"/>
      <c r="D15" s="1"/>
      <c r="E15" s="1"/>
    </row>
    <row r="16" spans="1:7">
      <c r="C16" s="1"/>
      <c r="D16" s="1"/>
      <c r="E16" s="1"/>
    </row>
    <row r="17" spans="3:5">
      <c r="C17" s="1"/>
      <c r="D17" s="1"/>
      <c r="E17" s="1"/>
    </row>
    <row r="18" spans="3:5">
      <c r="C18" s="1"/>
      <c r="D18" s="1"/>
      <c r="E18" s="1"/>
    </row>
    <row r="19" spans="3:5">
      <c r="C19" s="1"/>
      <c r="D19" s="1"/>
      <c r="E19" s="1"/>
    </row>
    <row r="20" spans="3:5">
      <c r="C20" s="1"/>
      <c r="D20" s="1"/>
      <c r="E20" s="1"/>
    </row>
    <row r="21" spans="3:5">
      <c r="C21" s="1"/>
      <c r="D21" s="1"/>
      <c r="E21" s="1"/>
    </row>
    <row r="22" spans="3:5">
      <c r="C22" s="1"/>
      <c r="D22" s="1"/>
      <c r="E22" s="1"/>
    </row>
    <row r="23" spans="3:5">
      <c r="C23" s="1"/>
      <c r="D23" s="1"/>
      <c r="E23" s="1"/>
    </row>
    <row r="24" spans="3:5">
      <c r="C24" s="1"/>
      <c r="D24" s="1"/>
      <c r="E24" s="1"/>
    </row>
    <row r="25" spans="3:5">
      <c r="C25" s="1"/>
      <c r="D25" s="1"/>
      <c r="E25" s="1"/>
    </row>
    <row r="26" spans="3:5">
      <c r="C26" s="1"/>
      <c r="D26" s="1"/>
      <c r="E26" s="1"/>
    </row>
    <row r="27" spans="3:5">
      <c r="C27" s="1"/>
      <c r="D27" s="1"/>
      <c r="E27" s="1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R52"/>
  <sheetViews>
    <sheetView zoomScale="85" zoomScaleNormal="85" workbookViewId="0">
      <selection activeCell="N51" sqref="N51"/>
    </sheetView>
  </sheetViews>
  <sheetFormatPr baseColWidth="10" defaultRowHeight="15"/>
  <cols>
    <col min="1" max="1" width="11.42578125" style="1"/>
    <col min="2" max="2" width="13.85546875" style="1" bestFit="1" customWidth="1"/>
    <col min="3" max="5" width="11.42578125" style="1"/>
    <col min="6" max="18" width="10.7109375" style="1" customWidth="1"/>
    <col min="19" max="21" width="6.7109375" style="1" customWidth="1"/>
    <col min="22" max="16384" width="11.42578125" style="1"/>
  </cols>
  <sheetData>
    <row r="1" spans="1:18">
      <c r="A1" s="124" t="s">
        <v>281</v>
      </c>
      <c r="B1" s="124" t="s">
        <v>254</v>
      </c>
      <c r="C1" s="124" t="s">
        <v>530</v>
      </c>
      <c r="D1" s="124" t="s">
        <v>345</v>
      </c>
      <c r="E1" s="124" t="s">
        <v>531</v>
      </c>
      <c r="F1" s="124" t="s">
        <v>3</v>
      </c>
      <c r="G1" s="124" t="s">
        <v>4</v>
      </c>
      <c r="H1" s="124" t="s">
        <v>532</v>
      </c>
      <c r="J1" s="337" t="s">
        <v>571</v>
      </c>
      <c r="K1" s="124" t="s">
        <v>571</v>
      </c>
      <c r="L1" s="124" t="s">
        <v>282</v>
      </c>
    </row>
    <row r="2" spans="1:18">
      <c r="A2" s="72" t="e">
        <f>C.T.E.!F47</f>
        <v>#N/A</v>
      </c>
      <c r="B2" s="321">
        <f>FORMULARIO!U18</f>
        <v>0</v>
      </c>
      <c r="C2" s="321" t="e">
        <f>VLOOKUP(B2,A5:B12,2,FALSE)</f>
        <v>#N/A</v>
      </c>
      <c r="D2" s="321" t="e">
        <f>VLOOKUP(1,C5:D8,2,FALSE)</f>
        <v>#N/A</v>
      </c>
      <c r="E2" s="1">
        <f>FORMULARIO!D44</f>
        <v>0</v>
      </c>
      <c r="F2" s="1">
        <f>FORMULARIO!F53</f>
        <v>0</v>
      </c>
      <c r="G2" s="1">
        <f>IF(E2="Monolitico","",FORMULARIO!J53)</f>
        <v>0</v>
      </c>
      <c r="H2" s="321"/>
      <c r="J2" s="72">
        <f>FORMULARIO!S57</f>
        <v>0</v>
      </c>
      <c r="K2" s="1" t="e">
        <f>HLOOKUP(E2,F4:H5,2,FALSE)</f>
        <v>#N/A</v>
      </c>
      <c r="L2" s="1" t="e">
        <f>IF(J2&lt;&gt;0,J2,INDEX(F8:H9,MATCH(C2,E8:E9,1),MATCH(E2,F7:H7,0)))</f>
        <v>#N/A</v>
      </c>
    </row>
    <row r="3" spans="1:18" ht="15.75" thickBot="1"/>
    <row r="4" spans="1:18" ht="15.75" thickBot="1">
      <c r="A4" s="122" t="s">
        <v>127</v>
      </c>
      <c r="B4" s="123" t="s">
        <v>171</v>
      </c>
      <c r="F4" s="124" t="s">
        <v>173</v>
      </c>
      <c r="G4" s="124" t="s">
        <v>174</v>
      </c>
      <c r="H4" s="124" t="s">
        <v>486</v>
      </c>
    </row>
    <row r="5" spans="1:18">
      <c r="A5" s="16" t="s">
        <v>15</v>
      </c>
      <c r="B5" s="16" t="s">
        <v>327</v>
      </c>
      <c r="C5" s="338" t="e">
        <f>IF($A$2&lt;=2.7,1,0)</f>
        <v>#N/A</v>
      </c>
      <c r="D5" s="120" t="s">
        <v>283</v>
      </c>
      <c r="E5" s="342" t="s">
        <v>533</v>
      </c>
      <c r="F5" s="1" t="e">
        <f>VLOOKUP(F2,A17:B27,2,FALSE)</f>
        <v>#N/A</v>
      </c>
      <c r="G5" s="321" t="str">
        <f>IF(E2="Doble Vidrio",INDEX(H16:R26,MATCH(F2,G16:G26,0),MATCH(G2,H15:R15,0)),"")</f>
        <v/>
      </c>
      <c r="H5" s="1" t="str">
        <f>IF(E2="Triple Vidrio","N/D","")</f>
        <v/>
      </c>
    </row>
    <row r="6" spans="1:18">
      <c r="A6" s="16" t="s">
        <v>8</v>
      </c>
      <c r="B6" s="16" t="s">
        <v>327</v>
      </c>
      <c r="C6" s="338" t="e">
        <f>IF(2.7&lt;$A$2,IF(A2&lt;=3.6,1,0),0)</f>
        <v>#N/A</v>
      </c>
      <c r="D6" s="121" t="s">
        <v>284</v>
      </c>
      <c r="F6" s="1" t="e">
        <f>MID(F5,1,2)&amp;" (C; "&amp;MID(F5,9,2)&amp;")"</f>
        <v>#N/A</v>
      </c>
      <c r="G6" s="321" t="str">
        <f>MID(G5,1,2)&amp;" (C; "&amp;MID(G5,9,2)&amp;")"</f>
        <v xml:space="preserve"> (C; )</v>
      </c>
      <c r="H6" s="321" t="str">
        <f>MID(H5,1,2)&amp;" (C; "&amp;MID(H5,9,2)&amp;")"</f>
        <v xml:space="preserve"> (C; )</v>
      </c>
    </row>
    <row r="7" spans="1:18">
      <c r="A7" s="16" t="s">
        <v>14</v>
      </c>
      <c r="B7" s="16" t="s">
        <v>327</v>
      </c>
      <c r="C7" s="338" t="e">
        <f>IF(3.6&lt;$A$2,IF(A2&lt;=4.6,1,0),0)</f>
        <v>#N/A</v>
      </c>
      <c r="D7" s="121" t="s">
        <v>285</v>
      </c>
      <c r="F7" s="124" t="s">
        <v>173</v>
      </c>
      <c r="G7" s="124" t="s">
        <v>174</v>
      </c>
      <c r="H7" s="124" t="s">
        <v>486</v>
      </c>
    </row>
    <row r="8" spans="1:18">
      <c r="A8" s="16" t="s">
        <v>17</v>
      </c>
      <c r="B8" s="16" t="s">
        <v>327</v>
      </c>
      <c r="C8" s="338" t="e">
        <f>IF($A$2&gt;=4.6,1,0)</f>
        <v>#N/A</v>
      </c>
      <c r="D8" s="121" t="s">
        <v>286</v>
      </c>
      <c r="E8" s="343" t="s">
        <v>327</v>
      </c>
      <c r="F8" s="321" t="e">
        <f>INDEX(H30:K52,MATCH(F6,G30:G52,1),MATCH(D2,H29:K29,0))</f>
        <v>#N/A</v>
      </c>
      <c r="G8" s="321" t="str">
        <f>IF(G5="","",INDEX(H30:K52,MATCH(G6,G30:G52,1),MATCH(D2,H29:K29,0)))</f>
        <v/>
      </c>
      <c r="H8" s="325" t="s">
        <v>528</v>
      </c>
    </row>
    <row r="9" spans="1:18" ht="15.75" thickBot="1">
      <c r="A9" s="16" t="s">
        <v>16</v>
      </c>
      <c r="B9" s="16" t="s">
        <v>327</v>
      </c>
      <c r="C9" s="88"/>
      <c r="E9" s="344" t="s">
        <v>328</v>
      </c>
      <c r="F9" s="321" t="e">
        <f>INDEX(N30:Q46,MATCH(F6,M30:M46,1),MATCH(D2,N29:Q29,0))</f>
        <v>#N/A</v>
      </c>
      <c r="G9" s="321" t="str">
        <f>IF(G5="","",INDEX(N30:Q46,MATCH(G6,M30:M46,1),MATCH(D2,N29:Q29,0)))</f>
        <v/>
      </c>
      <c r="H9" s="325" t="s">
        <v>528</v>
      </c>
    </row>
    <row r="10" spans="1:18">
      <c r="A10" s="16" t="s">
        <v>128</v>
      </c>
      <c r="B10" s="16" t="s">
        <v>328</v>
      </c>
    </row>
    <row r="11" spans="1:18">
      <c r="A11" s="16" t="s">
        <v>129</v>
      </c>
      <c r="B11" s="16" t="s">
        <v>328</v>
      </c>
    </row>
    <row r="12" spans="1:18" ht="15.75" thickBot="1">
      <c r="A12" s="17" t="s">
        <v>130</v>
      </c>
      <c r="B12" s="17" t="s">
        <v>328</v>
      </c>
    </row>
    <row r="14" spans="1:18" ht="15.75" thickBot="1">
      <c r="F14" s="139"/>
      <c r="G14" s="139"/>
      <c r="H14" s="696" t="s">
        <v>6</v>
      </c>
      <c r="I14" s="696"/>
      <c r="J14" s="696"/>
      <c r="K14" s="696"/>
      <c r="L14" s="696"/>
      <c r="M14" s="696"/>
      <c r="N14" s="696"/>
      <c r="O14" s="696"/>
      <c r="P14" s="696"/>
      <c r="Q14" s="696"/>
      <c r="R14" s="696"/>
    </row>
    <row r="15" spans="1:18" ht="15.75" thickBot="1">
      <c r="F15" s="139"/>
      <c r="G15" s="141">
        <v>6</v>
      </c>
      <c r="H15" s="142">
        <v>4</v>
      </c>
      <c r="I15" s="142">
        <v>6</v>
      </c>
      <c r="J15" s="142">
        <v>33.1</v>
      </c>
      <c r="K15" s="142">
        <v>8</v>
      </c>
      <c r="L15" s="142">
        <v>44.1</v>
      </c>
      <c r="M15" s="142">
        <v>10</v>
      </c>
      <c r="N15" s="142">
        <v>55.1</v>
      </c>
      <c r="O15" s="142">
        <v>12</v>
      </c>
      <c r="P15" s="142">
        <v>66.099999999999994</v>
      </c>
      <c r="Q15" s="142">
        <v>15</v>
      </c>
      <c r="R15" s="143">
        <v>19</v>
      </c>
    </row>
    <row r="16" spans="1:18" ht="16.5" customHeight="1" thickBot="1">
      <c r="A16" s="738" t="s">
        <v>529</v>
      </c>
      <c r="B16" s="738"/>
      <c r="F16" s="697" t="s">
        <v>5</v>
      </c>
      <c r="G16" s="144">
        <v>4</v>
      </c>
      <c r="H16" s="326" t="s">
        <v>287</v>
      </c>
      <c r="I16" s="327" t="s">
        <v>288</v>
      </c>
      <c r="J16" s="327" t="s">
        <v>289</v>
      </c>
      <c r="K16" s="327" t="s">
        <v>297</v>
      </c>
      <c r="L16" s="327" t="s">
        <v>290</v>
      </c>
      <c r="M16" s="327" t="s">
        <v>522</v>
      </c>
      <c r="N16" s="327" t="s">
        <v>308</v>
      </c>
      <c r="O16" s="327" t="s">
        <v>528</v>
      </c>
      <c r="P16" s="327" t="s">
        <v>316</v>
      </c>
      <c r="Q16" s="327" t="s">
        <v>528</v>
      </c>
      <c r="R16" s="334" t="s">
        <v>528</v>
      </c>
    </row>
    <row r="17" spans="1:18">
      <c r="A17" s="144">
        <v>4</v>
      </c>
      <c r="B17" s="339" t="s">
        <v>312</v>
      </c>
      <c r="F17" s="697"/>
      <c r="G17" s="144">
        <v>6</v>
      </c>
      <c r="H17" s="329" t="s">
        <v>288</v>
      </c>
      <c r="I17" s="330" t="s">
        <v>523</v>
      </c>
      <c r="J17" s="330" t="s">
        <v>528</v>
      </c>
      <c r="K17" s="330" t="s">
        <v>524</v>
      </c>
      <c r="L17" s="330" t="s">
        <v>525</v>
      </c>
      <c r="M17" s="330" t="s">
        <v>528</v>
      </c>
      <c r="N17" s="330" t="s">
        <v>308</v>
      </c>
      <c r="O17" s="330" t="s">
        <v>528</v>
      </c>
      <c r="P17" s="330" t="s">
        <v>528</v>
      </c>
      <c r="Q17" s="330" t="s">
        <v>528</v>
      </c>
      <c r="R17" s="335" t="s">
        <v>528</v>
      </c>
    </row>
    <row r="18" spans="1:18">
      <c r="A18" s="144">
        <v>6</v>
      </c>
      <c r="B18" s="340" t="s">
        <v>313</v>
      </c>
      <c r="F18" s="697"/>
      <c r="G18" s="144">
        <v>33.1</v>
      </c>
      <c r="H18" s="328" t="s">
        <v>289</v>
      </c>
      <c r="I18" s="330" t="s">
        <v>528</v>
      </c>
      <c r="J18" s="330" t="s">
        <v>527</v>
      </c>
      <c r="K18" s="330" t="s">
        <v>528</v>
      </c>
      <c r="L18" s="330" t="s">
        <v>528</v>
      </c>
      <c r="M18" s="330" t="s">
        <v>528</v>
      </c>
      <c r="N18" s="330" t="s">
        <v>528</v>
      </c>
      <c r="O18" s="330" t="s">
        <v>528</v>
      </c>
      <c r="P18" s="330" t="s">
        <v>528</v>
      </c>
      <c r="Q18" s="330" t="s">
        <v>528</v>
      </c>
      <c r="R18" s="335" t="s">
        <v>528</v>
      </c>
    </row>
    <row r="19" spans="1:18">
      <c r="A19" s="144">
        <v>33.1</v>
      </c>
      <c r="B19" s="340" t="s">
        <v>305</v>
      </c>
      <c r="F19" s="697"/>
      <c r="G19" s="144">
        <v>8</v>
      </c>
      <c r="H19" s="329" t="s">
        <v>297</v>
      </c>
      <c r="I19" s="330" t="s">
        <v>524</v>
      </c>
      <c r="J19" s="330" t="s">
        <v>528</v>
      </c>
      <c r="K19" s="330" t="s">
        <v>299</v>
      </c>
      <c r="L19" s="330" t="s">
        <v>528</v>
      </c>
      <c r="M19" s="330" t="s">
        <v>528</v>
      </c>
      <c r="N19" s="330" t="s">
        <v>528</v>
      </c>
      <c r="O19" s="330" t="s">
        <v>528</v>
      </c>
      <c r="P19" s="330" t="s">
        <v>526</v>
      </c>
      <c r="Q19" s="330" t="s">
        <v>528</v>
      </c>
      <c r="R19" s="335" t="s">
        <v>528</v>
      </c>
    </row>
    <row r="20" spans="1:18">
      <c r="A20" s="144">
        <v>8</v>
      </c>
      <c r="B20" s="340" t="s">
        <v>534</v>
      </c>
      <c r="F20" s="697"/>
      <c r="G20" s="144">
        <v>44.1</v>
      </c>
      <c r="H20" s="328" t="s">
        <v>290</v>
      </c>
      <c r="I20" s="330" t="s">
        <v>525</v>
      </c>
      <c r="J20" s="330" t="s">
        <v>528</v>
      </c>
      <c r="K20" s="330" t="s">
        <v>528</v>
      </c>
      <c r="L20" s="330" t="s">
        <v>524</v>
      </c>
      <c r="M20" s="330" t="s">
        <v>528</v>
      </c>
      <c r="N20" s="330" t="s">
        <v>528</v>
      </c>
      <c r="O20" s="330" t="s">
        <v>528</v>
      </c>
      <c r="P20" s="330" t="s">
        <v>528</v>
      </c>
      <c r="Q20" s="330" t="s">
        <v>528</v>
      </c>
      <c r="R20" s="335" t="s">
        <v>528</v>
      </c>
    </row>
    <row r="21" spans="1:18">
      <c r="A21" s="144">
        <v>44.1</v>
      </c>
      <c r="B21" s="340" t="s">
        <v>307</v>
      </c>
      <c r="F21" s="697"/>
      <c r="G21" s="144">
        <v>10</v>
      </c>
      <c r="H21" s="328" t="s">
        <v>522</v>
      </c>
      <c r="I21" s="330" t="s">
        <v>528</v>
      </c>
      <c r="J21" s="330" t="s">
        <v>528</v>
      </c>
      <c r="K21" s="330" t="s">
        <v>528</v>
      </c>
      <c r="L21" s="330" t="s">
        <v>528</v>
      </c>
      <c r="M21" s="330" t="s">
        <v>528</v>
      </c>
      <c r="N21" s="330" t="s">
        <v>528</v>
      </c>
      <c r="O21" s="330" t="s">
        <v>528</v>
      </c>
      <c r="P21" s="330" t="s">
        <v>528</v>
      </c>
      <c r="Q21" s="330" t="s">
        <v>528</v>
      </c>
      <c r="R21" s="335" t="s">
        <v>528</v>
      </c>
    </row>
    <row r="22" spans="1:18">
      <c r="A22" s="144">
        <v>10</v>
      </c>
      <c r="B22" s="340" t="s">
        <v>535</v>
      </c>
      <c r="F22" s="697"/>
      <c r="G22" s="144">
        <v>55.1</v>
      </c>
      <c r="H22" s="328" t="s">
        <v>308</v>
      </c>
      <c r="I22" s="330" t="s">
        <v>308</v>
      </c>
      <c r="J22" s="330" t="s">
        <v>528</v>
      </c>
      <c r="K22" s="330" t="s">
        <v>528</v>
      </c>
      <c r="L22" s="330" t="s">
        <v>528</v>
      </c>
      <c r="M22" s="330" t="s">
        <v>528</v>
      </c>
      <c r="N22" s="330" t="s">
        <v>528</v>
      </c>
      <c r="O22" s="330" t="s">
        <v>528</v>
      </c>
      <c r="P22" s="330" t="s">
        <v>528</v>
      </c>
      <c r="Q22" s="330" t="s">
        <v>528</v>
      </c>
      <c r="R22" s="335" t="s">
        <v>528</v>
      </c>
    </row>
    <row r="23" spans="1:18">
      <c r="A23" s="144">
        <v>55.1</v>
      </c>
      <c r="B23" s="340" t="s">
        <v>314</v>
      </c>
      <c r="F23" s="697"/>
      <c r="G23" s="144">
        <v>12</v>
      </c>
      <c r="H23" s="328" t="s">
        <v>528</v>
      </c>
      <c r="I23" s="330" t="s">
        <v>528</v>
      </c>
      <c r="J23" s="330" t="s">
        <v>528</v>
      </c>
      <c r="K23" s="330" t="s">
        <v>528</v>
      </c>
      <c r="L23" s="330" t="s">
        <v>528</v>
      </c>
      <c r="M23" s="330" t="s">
        <v>528</v>
      </c>
      <c r="N23" s="330" t="s">
        <v>528</v>
      </c>
      <c r="O23" s="330" t="s">
        <v>528</v>
      </c>
      <c r="P23" s="330" t="s">
        <v>528</v>
      </c>
      <c r="Q23" s="330" t="s">
        <v>528</v>
      </c>
      <c r="R23" s="335" t="s">
        <v>528</v>
      </c>
    </row>
    <row r="24" spans="1:18">
      <c r="A24" s="144">
        <v>12</v>
      </c>
      <c r="B24" s="340" t="s">
        <v>521</v>
      </c>
      <c r="F24" s="697"/>
      <c r="G24" s="144">
        <v>66.099999999999994</v>
      </c>
      <c r="H24" s="328" t="s">
        <v>316</v>
      </c>
      <c r="I24" s="330" t="s">
        <v>528</v>
      </c>
      <c r="J24" s="330" t="s">
        <v>528</v>
      </c>
      <c r="K24" s="330" t="s">
        <v>526</v>
      </c>
      <c r="L24" s="330" t="s">
        <v>528</v>
      </c>
      <c r="M24" s="330" t="s">
        <v>528</v>
      </c>
      <c r="N24" s="330" t="s">
        <v>528</v>
      </c>
      <c r="O24" s="330" t="s">
        <v>528</v>
      </c>
      <c r="P24" s="330" t="s">
        <v>528</v>
      </c>
      <c r="Q24" s="330" t="s">
        <v>528</v>
      </c>
      <c r="R24" s="335" t="s">
        <v>528</v>
      </c>
    </row>
    <row r="25" spans="1:18">
      <c r="A25" s="144">
        <v>66.099999999999994</v>
      </c>
      <c r="B25" s="340" t="s">
        <v>315</v>
      </c>
      <c r="F25" s="697"/>
      <c r="G25" s="144">
        <v>15</v>
      </c>
      <c r="H25" s="328" t="s">
        <v>528</v>
      </c>
      <c r="I25" s="330" t="s">
        <v>528</v>
      </c>
      <c r="J25" s="330" t="s">
        <v>528</v>
      </c>
      <c r="K25" s="330" t="s">
        <v>528</v>
      </c>
      <c r="L25" s="330" t="s">
        <v>528</v>
      </c>
      <c r="M25" s="330" t="s">
        <v>528</v>
      </c>
      <c r="N25" s="330" t="s">
        <v>528</v>
      </c>
      <c r="O25" s="330" t="s">
        <v>528</v>
      </c>
      <c r="P25" s="330" t="s">
        <v>528</v>
      </c>
      <c r="Q25" s="330" t="s">
        <v>528</v>
      </c>
      <c r="R25" s="335" t="s">
        <v>528</v>
      </c>
    </row>
    <row r="26" spans="1:18" ht="15.75" thickBot="1">
      <c r="A26" s="144">
        <v>15</v>
      </c>
      <c r="B26" s="340" t="s">
        <v>521</v>
      </c>
      <c r="F26" s="697"/>
      <c r="G26" s="209">
        <v>19</v>
      </c>
      <c r="H26" s="332" t="s">
        <v>528</v>
      </c>
      <c r="I26" s="333" t="s">
        <v>528</v>
      </c>
      <c r="J26" s="333" t="s">
        <v>528</v>
      </c>
      <c r="K26" s="333" t="s">
        <v>528</v>
      </c>
      <c r="L26" s="333" t="s">
        <v>528</v>
      </c>
      <c r="M26" s="333" t="s">
        <v>528</v>
      </c>
      <c r="N26" s="333" t="s">
        <v>528</v>
      </c>
      <c r="O26" s="333" t="s">
        <v>528</v>
      </c>
      <c r="P26" s="333" t="s">
        <v>528</v>
      </c>
      <c r="Q26" s="333" t="s">
        <v>528</v>
      </c>
      <c r="R26" s="336" t="s">
        <v>528</v>
      </c>
    </row>
    <row r="27" spans="1:18" ht="15.75" thickBot="1">
      <c r="A27" s="209">
        <v>19</v>
      </c>
      <c r="B27" s="341" t="s">
        <v>521</v>
      </c>
    </row>
    <row r="28" spans="1:18">
      <c r="A28" s="290"/>
      <c r="G28" s="122" t="s">
        <v>327</v>
      </c>
      <c r="H28" s="739" t="s">
        <v>282</v>
      </c>
      <c r="I28" s="739"/>
      <c r="J28" s="739"/>
      <c r="K28" s="739"/>
      <c r="M28" s="122" t="s">
        <v>328</v>
      </c>
      <c r="N28" s="739" t="s">
        <v>282</v>
      </c>
      <c r="O28" s="739"/>
      <c r="P28" s="739"/>
      <c r="Q28" s="739"/>
    </row>
    <row r="29" spans="1:18" ht="15.75" thickBot="1">
      <c r="A29" s="290"/>
      <c r="G29" s="119" t="s">
        <v>317</v>
      </c>
      <c r="H29" s="120" t="s">
        <v>283</v>
      </c>
      <c r="I29" s="121" t="s">
        <v>284</v>
      </c>
      <c r="J29" s="121" t="s">
        <v>285</v>
      </c>
      <c r="K29" s="121" t="s">
        <v>286</v>
      </c>
      <c r="M29" s="119" t="s">
        <v>317</v>
      </c>
      <c r="N29" s="120" t="s">
        <v>283</v>
      </c>
      <c r="O29" s="121" t="s">
        <v>284</v>
      </c>
      <c r="P29" s="121" t="s">
        <v>285</v>
      </c>
      <c r="Q29" s="121" t="s">
        <v>286</v>
      </c>
    </row>
    <row r="30" spans="1:18">
      <c r="A30" s="290"/>
      <c r="D30" s="321"/>
      <c r="G30" s="339" t="s">
        <v>536</v>
      </c>
      <c r="H30" s="339" t="s">
        <v>559</v>
      </c>
      <c r="I30" s="339" t="s">
        <v>334</v>
      </c>
      <c r="J30" s="339" t="s">
        <v>333</v>
      </c>
      <c r="K30" s="339" t="s">
        <v>335</v>
      </c>
      <c r="M30" s="339" t="s">
        <v>538</v>
      </c>
      <c r="N30" s="339" t="s">
        <v>331</v>
      </c>
      <c r="O30" s="339" t="s">
        <v>332</v>
      </c>
      <c r="P30" s="339" t="s">
        <v>564</v>
      </c>
      <c r="Q30" s="339" t="s">
        <v>565</v>
      </c>
    </row>
    <row r="31" spans="1:18">
      <c r="A31" s="290"/>
      <c r="G31" s="340" t="s">
        <v>538</v>
      </c>
      <c r="H31" s="328" t="s">
        <v>302</v>
      </c>
      <c r="I31" s="340" t="s">
        <v>318</v>
      </c>
      <c r="J31" s="340" t="s">
        <v>560</v>
      </c>
      <c r="K31" s="340" t="s">
        <v>561</v>
      </c>
      <c r="M31" s="340" t="s">
        <v>539</v>
      </c>
      <c r="N31" s="340" t="s">
        <v>330</v>
      </c>
      <c r="O31" s="340" t="s">
        <v>331</v>
      </c>
      <c r="P31" s="340" t="s">
        <v>332</v>
      </c>
      <c r="Q31" s="340" t="s">
        <v>564</v>
      </c>
    </row>
    <row r="32" spans="1:18">
      <c r="A32" s="290"/>
      <c r="G32" s="340" t="s">
        <v>537</v>
      </c>
      <c r="H32" s="328" t="s">
        <v>324</v>
      </c>
      <c r="I32" s="328" t="s">
        <v>559</v>
      </c>
      <c r="J32" s="328" t="s">
        <v>334</v>
      </c>
      <c r="K32" s="340" t="s">
        <v>333</v>
      </c>
      <c r="M32" s="340" t="s">
        <v>540</v>
      </c>
      <c r="N32" s="340" t="s">
        <v>342</v>
      </c>
      <c r="O32" s="340" t="s">
        <v>566</v>
      </c>
      <c r="P32" s="340" t="s">
        <v>567</v>
      </c>
      <c r="Q32" s="340" t="s">
        <v>568</v>
      </c>
    </row>
    <row r="33" spans="7:17">
      <c r="G33" s="340" t="s">
        <v>539</v>
      </c>
      <c r="H33" s="328" t="s">
        <v>301</v>
      </c>
      <c r="I33" s="328" t="s">
        <v>302</v>
      </c>
      <c r="J33" s="328" t="s">
        <v>318</v>
      </c>
      <c r="K33" s="340" t="s">
        <v>560</v>
      </c>
      <c r="M33" s="340" t="s">
        <v>541</v>
      </c>
      <c r="N33" s="340" t="s">
        <v>329</v>
      </c>
      <c r="O33" s="340" t="s">
        <v>330</v>
      </c>
      <c r="P33" s="340" t="s">
        <v>331</v>
      </c>
      <c r="Q33" s="340" t="s">
        <v>332</v>
      </c>
    </row>
    <row r="34" spans="7:17">
      <c r="G34" s="340" t="s">
        <v>540</v>
      </c>
      <c r="H34" s="328" t="s">
        <v>293</v>
      </c>
      <c r="I34" s="328" t="s">
        <v>302</v>
      </c>
      <c r="J34" s="328" t="s">
        <v>318</v>
      </c>
      <c r="K34" s="340" t="s">
        <v>560</v>
      </c>
      <c r="M34" s="340" t="s">
        <v>542</v>
      </c>
      <c r="N34" s="340" t="s">
        <v>329</v>
      </c>
      <c r="O34" s="340" t="s">
        <v>330</v>
      </c>
      <c r="P34" s="340" t="s">
        <v>331</v>
      </c>
      <c r="Q34" s="340" t="s">
        <v>332</v>
      </c>
    </row>
    <row r="35" spans="7:17">
      <c r="G35" s="340" t="s">
        <v>541</v>
      </c>
      <c r="H35" s="328" t="s">
        <v>305</v>
      </c>
      <c r="I35" s="328" t="s">
        <v>324</v>
      </c>
      <c r="J35" s="328" t="s">
        <v>559</v>
      </c>
      <c r="K35" s="340" t="s">
        <v>334</v>
      </c>
      <c r="M35" s="340" t="s">
        <v>543</v>
      </c>
      <c r="N35" s="340" t="s">
        <v>341</v>
      </c>
      <c r="O35" s="340" t="s">
        <v>342</v>
      </c>
      <c r="P35" s="340" t="s">
        <v>566</v>
      </c>
      <c r="Q35" s="340" t="s">
        <v>567</v>
      </c>
    </row>
    <row r="36" spans="7:17">
      <c r="G36" s="340" t="s">
        <v>542</v>
      </c>
      <c r="H36" s="328" t="s">
        <v>300</v>
      </c>
      <c r="I36" s="328" t="s">
        <v>301</v>
      </c>
      <c r="J36" s="328" t="s">
        <v>302</v>
      </c>
      <c r="K36" s="340" t="s">
        <v>318</v>
      </c>
      <c r="M36" s="340" t="s">
        <v>544</v>
      </c>
      <c r="N36" s="340" t="s">
        <v>335</v>
      </c>
      <c r="O36" s="340" t="s">
        <v>337</v>
      </c>
      <c r="P36" s="340" t="s">
        <v>336</v>
      </c>
      <c r="Q36" s="340" t="s">
        <v>569</v>
      </c>
    </row>
    <row r="37" spans="7:17">
      <c r="G37" s="340" t="s">
        <v>543</v>
      </c>
      <c r="H37" s="328" t="s">
        <v>292</v>
      </c>
      <c r="I37" s="328" t="s">
        <v>293</v>
      </c>
      <c r="J37" s="328" t="s">
        <v>294</v>
      </c>
      <c r="K37" s="340" t="s">
        <v>295</v>
      </c>
      <c r="M37" s="340" t="s">
        <v>545</v>
      </c>
      <c r="N37" s="340" t="s">
        <v>344</v>
      </c>
      <c r="O37" s="340" t="s">
        <v>329</v>
      </c>
      <c r="P37" s="340" t="s">
        <v>330</v>
      </c>
      <c r="Q37" s="340" t="s">
        <v>331</v>
      </c>
    </row>
    <row r="38" spans="7:17">
      <c r="G38" s="340" t="s">
        <v>544</v>
      </c>
      <c r="H38" s="328" t="s">
        <v>320</v>
      </c>
      <c r="I38" s="328" t="s">
        <v>321</v>
      </c>
      <c r="J38" s="328" t="s">
        <v>322</v>
      </c>
      <c r="K38" s="340" t="s">
        <v>562</v>
      </c>
      <c r="M38" s="340" t="s">
        <v>546</v>
      </c>
      <c r="N38" s="340" t="s">
        <v>340</v>
      </c>
      <c r="O38" s="340" t="s">
        <v>341</v>
      </c>
      <c r="P38" s="340" t="s">
        <v>342</v>
      </c>
      <c r="Q38" s="340" t="s">
        <v>566</v>
      </c>
    </row>
    <row r="39" spans="7:17">
      <c r="G39" s="340" t="s">
        <v>545</v>
      </c>
      <c r="H39" s="328" t="s">
        <v>306</v>
      </c>
      <c r="I39" s="328" t="s">
        <v>305</v>
      </c>
      <c r="J39" s="328" t="s">
        <v>324</v>
      </c>
      <c r="K39" s="340" t="s">
        <v>559</v>
      </c>
      <c r="M39" s="340" t="s">
        <v>547</v>
      </c>
      <c r="N39" s="340" t="s">
        <v>340</v>
      </c>
      <c r="O39" s="340" t="s">
        <v>341</v>
      </c>
      <c r="P39" s="340" t="s">
        <v>342</v>
      </c>
      <c r="Q39" s="340" t="s">
        <v>566</v>
      </c>
    </row>
    <row r="40" spans="7:17">
      <c r="G40" s="340" t="s">
        <v>546</v>
      </c>
      <c r="H40" s="328" t="s">
        <v>288</v>
      </c>
      <c r="I40" s="328" t="s">
        <v>300</v>
      </c>
      <c r="J40" s="328" t="s">
        <v>301</v>
      </c>
      <c r="K40" s="340" t="s">
        <v>302</v>
      </c>
      <c r="M40" s="340" t="s">
        <v>548</v>
      </c>
      <c r="N40" s="340" t="s">
        <v>333</v>
      </c>
      <c r="O40" s="340" t="s">
        <v>335</v>
      </c>
      <c r="P40" s="340" t="s">
        <v>337</v>
      </c>
      <c r="Q40" s="340" t="s">
        <v>336</v>
      </c>
    </row>
    <row r="41" spans="7:17">
      <c r="G41" s="340" t="s">
        <v>547</v>
      </c>
      <c r="H41" s="328" t="s">
        <v>303</v>
      </c>
      <c r="I41" s="328" t="s">
        <v>292</v>
      </c>
      <c r="J41" s="328" t="s">
        <v>293</v>
      </c>
      <c r="K41" s="340" t="s">
        <v>294</v>
      </c>
      <c r="M41" s="340" t="s">
        <v>551</v>
      </c>
      <c r="N41" s="340" t="s">
        <v>338</v>
      </c>
      <c r="O41" s="340" t="s">
        <v>340</v>
      </c>
      <c r="P41" s="340" t="s">
        <v>341</v>
      </c>
      <c r="Q41" s="340" t="s">
        <v>342</v>
      </c>
    </row>
    <row r="42" spans="7:17">
      <c r="G42" s="340" t="s">
        <v>548</v>
      </c>
      <c r="H42" s="328" t="s">
        <v>319</v>
      </c>
      <c r="I42" s="328" t="s">
        <v>320</v>
      </c>
      <c r="J42" s="328" t="s">
        <v>321</v>
      </c>
      <c r="K42" s="340" t="s">
        <v>322</v>
      </c>
      <c r="M42" s="340" t="s">
        <v>550</v>
      </c>
      <c r="N42" s="340" t="s">
        <v>338</v>
      </c>
      <c r="O42" s="340" t="s">
        <v>340</v>
      </c>
      <c r="P42" s="340" t="s">
        <v>341</v>
      </c>
      <c r="Q42" s="340" t="s">
        <v>342</v>
      </c>
    </row>
    <row r="43" spans="7:17">
      <c r="G43" s="340" t="s">
        <v>551</v>
      </c>
      <c r="H43" s="328" t="s">
        <v>307</v>
      </c>
      <c r="I43" s="328" t="s">
        <v>306</v>
      </c>
      <c r="J43" s="328" t="s">
        <v>305</v>
      </c>
      <c r="K43" s="340" t="s">
        <v>324</v>
      </c>
      <c r="M43" s="340" t="s">
        <v>549</v>
      </c>
      <c r="N43" s="340" t="s">
        <v>334</v>
      </c>
      <c r="O43" s="340" t="s">
        <v>333</v>
      </c>
      <c r="P43" s="340" t="s">
        <v>335</v>
      </c>
      <c r="Q43" s="340" t="s">
        <v>337</v>
      </c>
    </row>
    <row r="44" spans="7:17">
      <c r="G44" s="340" t="s">
        <v>550</v>
      </c>
      <c r="H44" s="328" t="s">
        <v>296</v>
      </c>
      <c r="I44" s="328" t="s">
        <v>288</v>
      </c>
      <c r="J44" s="328" t="s">
        <v>300</v>
      </c>
      <c r="K44" s="340" t="s">
        <v>301</v>
      </c>
      <c r="M44" s="340" t="s">
        <v>552</v>
      </c>
      <c r="N44" s="340" t="s">
        <v>343</v>
      </c>
      <c r="O44" s="340" t="s">
        <v>344</v>
      </c>
      <c r="P44" s="340" t="s">
        <v>329</v>
      </c>
      <c r="Q44" s="340" t="s">
        <v>330</v>
      </c>
    </row>
    <row r="45" spans="7:17">
      <c r="G45" s="340" t="s">
        <v>549</v>
      </c>
      <c r="H45" s="328" t="s">
        <v>291</v>
      </c>
      <c r="I45" s="328" t="s">
        <v>303</v>
      </c>
      <c r="J45" s="328" t="s">
        <v>292</v>
      </c>
      <c r="K45" s="340" t="s">
        <v>293</v>
      </c>
      <c r="M45" s="340" t="s">
        <v>563</v>
      </c>
      <c r="N45" s="340" t="s">
        <v>338</v>
      </c>
      <c r="O45" s="340" t="s">
        <v>340</v>
      </c>
      <c r="P45" s="340" t="s">
        <v>341</v>
      </c>
      <c r="Q45" s="340" t="s">
        <v>342</v>
      </c>
    </row>
    <row r="46" spans="7:17" ht="15.75" thickBot="1">
      <c r="G46" s="340" t="s">
        <v>552</v>
      </c>
      <c r="H46" s="328" t="s">
        <v>304</v>
      </c>
      <c r="I46" s="328" t="s">
        <v>307</v>
      </c>
      <c r="J46" s="328" t="s">
        <v>306</v>
      </c>
      <c r="K46" s="340" t="s">
        <v>305</v>
      </c>
      <c r="M46" s="341" t="s">
        <v>555</v>
      </c>
      <c r="N46" s="341" t="s">
        <v>339</v>
      </c>
      <c r="O46" s="341" t="s">
        <v>338</v>
      </c>
      <c r="P46" s="341" t="s">
        <v>340</v>
      </c>
      <c r="Q46" s="341" t="s">
        <v>341</v>
      </c>
    </row>
    <row r="47" spans="7:17">
      <c r="G47" s="340" t="s">
        <v>553</v>
      </c>
      <c r="H47" s="328" t="s">
        <v>297</v>
      </c>
      <c r="I47" s="328" t="s">
        <v>296</v>
      </c>
      <c r="J47" s="328" t="s">
        <v>288</v>
      </c>
      <c r="K47" s="340" t="s">
        <v>300</v>
      </c>
    </row>
    <row r="48" spans="7:17">
      <c r="G48" s="340" t="s">
        <v>554</v>
      </c>
      <c r="H48" s="328" t="s">
        <v>323</v>
      </c>
      <c r="I48" s="328" t="s">
        <v>304</v>
      </c>
      <c r="J48" s="328" t="s">
        <v>307</v>
      </c>
      <c r="K48" s="340" t="s">
        <v>306</v>
      </c>
      <c r="M48" s="321"/>
      <c r="N48" s="321"/>
      <c r="O48" s="321"/>
      <c r="P48" s="321"/>
      <c r="Q48" s="321"/>
    </row>
    <row r="49" spans="7:17">
      <c r="G49" s="340" t="s">
        <v>555</v>
      </c>
      <c r="H49" s="328" t="s">
        <v>298</v>
      </c>
      <c r="I49" s="328" t="s">
        <v>297</v>
      </c>
      <c r="J49" s="328" t="s">
        <v>296</v>
      </c>
      <c r="K49" s="340" t="s">
        <v>288</v>
      </c>
      <c r="M49" s="321"/>
      <c r="N49" s="321"/>
      <c r="O49" s="321"/>
      <c r="P49" s="321"/>
      <c r="Q49" s="321"/>
    </row>
    <row r="50" spans="7:17">
      <c r="G50" s="340" t="s">
        <v>556</v>
      </c>
      <c r="H50" s="328" t="s">
        <v>325</v>
      </c>
      <c r="I50" s="328" t="s">
        <v>323</v>
      </c>
      <c r="J50" s="328" t="s">
        <v>304</v>
      </c>
      <c r="K50" s="340" t="s">
        <v>307</v>
      </c>
      <c r="M50" s="321"/>
      <c r="N50" s="321"/>
      <c r="O50" s="321"/>
      <c r="P50" s="321"/>
      <c r="Q50" s="321"/>
    </row>
    <row r="51" spans="7:17">
      <c r="G51" s="340" t="s">
        <v>557</v>
      </c>
      <c r="H51" s="328" t="s">
        <v>299</v>
      </c>
      <c r="I51" s="328" t="s">
        <v>298</v>
      </c>
      <c r="J51" s="328" t="s">
        <v>297</v>
      </c>
      <c r="K51" s="340" t="s">
        <v>296</v>
      </c>
      <c r="M51" s="321"/>
      <c r="N51" s="321"/>
      <c r="O51" s="321"/>
      <c r="P51" s="321"/>
      <c r="Q51" s="321"/>
    </row>
    <row r="52" spans="7:17" ht="15.75" thickBot="1">
      <c r="G52" s="341" t="s">
        <v>558</v>
      </c>
      <c r="H52" s="331" t="s">
        <v>326</v>
      </c>
      <c r="I52" s="331" t="s">
        <v>299</v>
      </c>
      <c r="J52" s="331" t="s">
        <v>298</v>
      </c>
      <c r="K52" s="341" t="s">
        <v>297</v>
      </c>
      <c r="M52" s="321"/>
      <c r="N52" s="321"/>
      <c r="O52" s="321"/>
      <c r="P52" s="321"/>
      <c r="Q52" s="321"/>
    </row>
  </sheetData>
  <mergeCells count="5">
    <mergeCell ref="H14:R14"/>
    <mergeCell ref="F16:F26"/>
    <mergeCell ref="A16:B16"/>
    <mergeCell ref="H28:K28"/>
    <mergeCell ref="N28:Q28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K64"/>
  <sheetViews>
    <sheetView topLeftCell="A18" workbookViewId="0">
      <selection activeCell="M25" sqref="M25"/>
    </sheetView>
  </sheetViews>
  <sheetFormatPr baseColWidth="10" defaultRowHeight="15"/>
  <cols>
    <col min="1" max="1" width="14" bestFit="1" customWidth="1"/>
    <col min="2" max="11" width="7.28515625" customWidth="1"/>
  </cols>
  <sheetData>
    <row r="1" spans="1:11">
      <c r="A1" s="719" t="s">
        <v>367</v>
      </c>
      <c r="B1" s="719"/>
      <c r="C1" s="719"/>
      <c r="D1" s="719"/>
      <c r="E1" s="719"/>
      <c r="F1" s="719"/>
      <c r="G1" s="719"/>
      <c r="H1" s="719"/>
      <c r="I1" s="719"/>
      <c r="J1" s="719"/>
      <c r="K1" s="719"/>
    </row>
    <row r="2" spans="1:11">
      <c r="A2" s="719" t="s">
        <v>368</v>
      </c>
      <c r="B2" s="719"/>
      <c r="C2" s="719"/>
      <c r="D2" s="719"/>
      <c r="E2" s="719"/>
      <c r="F2" s="719"/>
      <c r="G2" s="719"/>
      <c r="H2" s="719"/>
      <c r="I2" s="719"/>
      <c r="J2" s="719"/>
      <c r="K2" s="719"/>
    </row>
    <row r="3" spans="1:11">
      <c r="B3" s="128" t="s">
        <v>390</v>
      </c>
      <c r="C3" s="128" t="s">
        <v>391</v>
      </c>
      <c r="D3" s="128" t="s">
        <v>392</v>
      </c>
      <c r="E3" s="128" t="s">
        <v>393</v>
      </c>
      <c r="F3" s="128" t="s">
        <v>394</v>
      </c>
      <c r="G3" s="128" t="s">
        <v>395</v>
      </c>
      <c r="H3" s="128" t="s">
        <v>396</v>
      </c>
      <c r="I3" s="128" t="s">
        <v>397</v>
      </c>
      <c r="J3" s="128" t="s">
        <v>369</v>
      </c>
      <c r="K3" s="128" t="s">
        <v>370</v>
      </c>
    </row>
    <row r="4" spans="1:11">
      <c r="A4" s="105" t="s">
        <v>33</v>
      </c>
      <c r="B4" s="105">
        <v>322.39999999999998</v>
      </c>
      <c r="C4" s="105">
        <v>246.4</v>
      </c>
      <c r="D4" s="105">
        <v>198.4</v>
      </c>
      <c r="E4" s="105">
        <v>105</v>
      </c>
      <c r="F4" s="105" t="s">
        <v>371</v>
      </c>
      <c r="G4" s="105">
        <v>24.8</v>
      </c>
      <c r="H4" s="105">
        <v>189</v>
      </c>
      <c r="I4" s="105">
        <v>291.39999999999998</v>
      </c>
      <c r="J4" s="129">
        <v>1247.5999999999999</v>
      </c>
      <c r="K4" s="129">
        <v>1377.4</v>
      </c>
    </row>
    <row r="5" spans="1:11">
      <c r="A5" s="105" t="s">
        <v>372</v>
      </c>
      <c r="B5" s="105">
        <v>80.599999999999994</v>
      </c>
      <c r="C5" s="105">
        <v>67.2</v>
      </c>
      <c r="D5" s="105">
        <v>37.200000000000003</v>
      </c>
      <c r="E5" s="105" t="s">
        <v>371</v>
      </c>
      <c r="F5" s="105" t="s">
        <v>371</v>
      </c>
      <c r="G5" s="105" t="s">
        <v>371</v>
      </c>
      <c r="H5" s="105" t="s">
        <v>371</v>
      </c>
      <c r="I5" s="105">
        <v>52.7</v>
      </c>
      <c r="J5" s="105">
        <v>237.7</v>
      </c>
      <c r="K5" s="105">
        <v>237.7</v>
      </c>
    </row>
    <row r="6" spans="1:11">
      <c r="A6" s="105" t="s">
        <v>37</v>
      </c>
      <c r="B6" s="105">
        <v>117.8</v>
      </c>
      <c r="C6" s="105">
        <v>84</v>
      </c>
      <c r="D6" s="105">
        <v>52.7</v>
      </c>
      <c r="E6" s="105" t="s">
        <v>371</v>
      </c>
      <c r="F6" s="105" t="s">
        <v>371</v>
      </c>
      <c r="G6" s="105" t="s">
        <v>371</v>
      </c>
      <c r="H6" s="105" t="s">
        <v>371</v>
      </c>
      <c r="I6" s="105">
        <v>83.7</v>
      </c>
      <c r="J6" s="105">
        <v>338.2</v>
      </c>
      <c r="K6" s="105">
        <v>338.2</v>
      </c>
    </row>
    <row r="7" spans="1:11">
      <c r="A7" s="105" t="s">
        <v>42</v>
      </c>
      <c r="B7" s="105">
        <v>74.400000000000006</v>
      </c>
      <c r="C7" s="105">
        <v>56</v>
      </c>
      <c r="D7" s="105">
        <v>21.7</v>
      </c>
      <c r="E7" s="105" t="s">
        <v>371</v>
      </c>
      <c r="F7" s="105" t="s">
        <v>371</v>
      </c>
      <c r="G7" s="105" t="s">
        <v>371</v>
      </c>
      <c r="H7" s="105" t="s">
        <v>371</v>
      </c>
      <c r="I7" s="105">
        <v>55.8</v>
      </c>
      <c r="J7" s="105">
        <v>207.9</v>
      </c>
      <c r="K7" s="105">
        <v>207.9</v>
      </c>
    </row>
    <row r="8" spans="1:11">
      <c r="A8" s="105" t="s">
        <v>45</v>
      </c>
      <c r="B8" s="105">
        <v>390.6</v>
      </c>
      <c r="C8" s="105">
        <v>330.4</v>
      </c>
      <c r="D8" s="105">
        <v>300.7</v>
      </c>
      <c r="E8" s="105">
        <v>219</v>
      </c>
      <c r="F8" s="105">
        <v>93</v>
      </c>
      <c r="G8" s="105">
        <v>142.6</v>
      </c>
      <c r="H8" s="105">
        <v>282</v>
      </c>
      <c r="I8" s="105">
        <v>268.89999999999998</v>
      </c>
      <c r="J8" s="129">
        <v>1672.6</v>
      </c>
      <c r="K8" s="129">
        <v>2127.1999999999998</v>
      </c>
    </row>
    <row r="9" spans="1:11">
      <c r="A9" s="105" t="s">
        <v>46</v>
      </c>
      <c r="B9" s="105">
        <v>213.9</v>
      </c>
      <c r="C9" s="105">
        <v>151.19999999999999</v>
      </c>
      <c r="D9" s="105">
        <v>99.2</v>
      </c>
      <c r="E9" s="105">
        <v>18</v>
      </c>
      <c r="F9" s="105" t="s">
        <v>371</v>
      </c>
      <c r="G9" s="105" t="s">
        <v>371</v>
      </c>
      <c r="H9" s="105">
        <v>96</v>
      </c>
      <c r="I9" s="105">
        <v>189.1</v>
      </c>
      <c r="J9" s="105">
        <v>749.4</v>
      </c>
      <c r="K9" s="105">
        <v>767.4</v>
      </c>
    </row>
    <row r="10" spans="1:11">
      <c r="A10" s="105" t="s">
        <v>48</v>
      </c>
      <c r="B10" s="105">
        <v>204.6</v>
      </c>
      <c r="C10" s="105">
        <v>131.6</v>
      </c>
      <c r="D10" s="105">
        <v>96.1</v>
      </c>
      <c r="E10" s="105">
        <v>33</v>
      </c>
      <c r="F10" s="105" t="s">
        <v>371</v>
      </c>
      <c r="G10" s="105" t="s">
        <v>371</v>
      </c>
      <c r="H10" s="105">
        <v>54</v>
      </c>
      <c r="I10" s="105">
        <v>136.4</v>
      </c>
      <c r="J10" s="105">
        <v>622.70000000000005</v>
      </c>
      <c r="K10" s="105">
        <v>655.7</v>
      </c>
    </row>
    <row r="11" spans="1:11">
      <c r="A11" s="105" t="s">
        <v>50</v>
      </c>
      <c r="B11" s="105">
        <v>198.4</v>
      </c>
      <c r="C11" s="105">
        <v>162.4</v>
      </c>
      <c r="D11" s="105">
        <v>136.4</v>
      </c>
      <c r="E11" s="105">
        <v>84</v>
      </c>
      <c r="F11" s="105" t="s">
        <v>371</v>
      </c>
      <c r="G11" s="105" t="s">
        <v>371</v>
      </c>
      <c r="H11" s="105">
        <v>93</v>
      </c>
      <c r="I11" s="105">
        <v>145.69999999999999</v>
      </c>
      <c r="J11" s="105">
        <v>735.9</v>
      </c>
      <c r="K11" s="105">
        <v>819.9</v>
      </c>
    </row>
    <row r="12" spans="1:11">
      <c r="A12" s="105" t="s">
        <v>51</v>
      </c>
      <c r="B12" s="105">
        <v>384.4</v>
      </c>
      <c r="C12" s="105">
        <v>319.2</v>
      </c>
      <c r="D12" s="105">
        <v>282.10000000000002</v>
      </c>
      <c r="E12" s="105">
        <v>210</v>
      </c>
      <c r="F12" s="105">
        <v>89.9</v>
      </c>
      <c r="G12" s="105">
        <v>133.30000000000001</v>
      </c>
      <c r="H12" s="105">
        <v>273</v>
      </c>
      <c r="I12" s="105">
        <v>356.5</v>
      </c>
      <c r="J12" s="129">
        <v>1615.2</v>
      </c>
      <c r="K12" s="129">
        <v>2048.4</v>
      </c>
    </row>
    <row r="13" spans="1:11">
      <c r="A13" s="105" t="s">
        <v>52</v>
      </c>
      <c r="B13" s="105">
        <v>254.2</v>
      </c>
      <c r="C13" s="105">
        <v>184.8</v>
      </c>
      <c r="D13" s="105">
        <v>145.69999999999999</v>
      </c>
      <c r="E13" s="105">
        <v>57</v>
      </c>
      <c r="F13" s="105" t="s">
        <v>371</v>
      </c>
      <c r="G13" s="105" t="s">
        <v>371</v>
      </c>
      <c r="H13" s="105">
        <v>132</v>
      </c>
      <c r="I13" s="105">
        <v>229.4</v>
      </c>
      <c r="J13" s="105">
        <v>946.1</v>
      </c>
      <c r="K13" s="129">
        <v>1003.1</v>
      </c>
    </row>
    <row r="14" spans="1:11">
      <c r="A14" s="105" t="s">
        <v>53</v>
      </c>
      <c r="B14" s="105">
        <v>89.9</v>
      </c>
      <c r="C14" s="105">
        <v>47.5</v>
      </c>
      <c r="D14" s="105">
        <v>24.8</v>
      </c>
      <c r="E14" s="105" t="s">
        <v>371</v>
      </c>
      <c r="F14" s="105" t="s">
        <v>371</v>
      </c>
      <c r="G14" s="105" t="s">
        <v>371</v>
      </c>
      <c r="H14" s="105" t="s">
        <v>371</v>
      </c>
      <c r="I14" s="105">
        <v>65.099999999999994</v>
      </c>
      <c r="J14" s="105">
        <v>227.4</v>
      </c>
      <c r="K14" s="105">
        <v>227.4</v>
      </c>
    </row>
    <row r="15" spans="1:11">
      <c r="A15" s="105" t="s">
        <v>373</v>
      </c>
      <c r="B15" s="105">
        <v>133.30000000000001</v>
      </c>
      <c r="C15" s="105">
        <v>92.4</v>
      </c>
      <c r="D15" s="105">
        <v>58.9</v>
      </c>
      <c r="E15" s="105" t="s">
        <v>371</v>
      </c>
      <c r="F15" s="105" t="s">
        <v>371</v>
      </c>
      <c r="G15" s="105" t="s">
        <v>371</v>
      </c>
      <c r="H15" s="105">
        <v>15</v>
      </c>
      <c r="I15" s="105">
        <v>111.6</v>
      </c>
      <c r="J15" s="105">
        <v>411.2</v>
      </c>
      <c r="K15" s="105">
        <v>411.2</v>
      </c>
    </row>
    <row r="16" spans="1:11">
      <c r="A16" s="105" t="s">
        <v>374</v>
      </c>
      <c r="B16" s="105">
        <v>139.5</v>
      </c>
      <c r="C16" s="105">
        <v>106.4</v>
      </c>
      <c r="D16" s="105">
        <v>68.2</v>
      </c>
      <c r="E16" s="105">
        <v>9</v>
      </c>
      <c r="F16" s="105" t="s">
        <v>371</v>
      </c>
      <c r="G16" s="105" t="s">
        <v>371</v>
      </c>
      <c r="H16" s="105">
        <v>27</v>
      </c>
      <c r="I16" s="105">
        <v>102.3</v>
      </c>
      <c r="J16" s="105">
        <v>443.4</v>
      </c>
      <c r="K16" s="105">
        <v>452.4</v>
      </c>
    </row>
    <row r="17" spans="1:11">
      <c r="A17" s="105" t="s">
        <v>375</v>
      </c>
      <c r="B17" s="105">
        <v>310</v>
      </c>
      <c r="C17" s="105">
        <v>238</v>
      </c>
      <c r="D17" s="105">
        <v>189.1</v>
      </c>
      <c r="E17" s="105">
        <v>99</v>
      </c>
      <c r="F17" s="105" t="s">
        <v>371</v>
      </c>
      <c r="G17" s="105">
        <v>12.4</v>
      </c>
      <c r="H17" s="105">
        <v>182</v>
      </c>
      <c r="I17" s="105">
        <v>282.10000000000002</v>
      </c>
      <c r="J17" s="129">
        <v>1201.2</v>
      </c>
      <c r="K17" s="129">
        <v>1312.6</v>
      </c>
    </row>
    <row r="18" spans="1:11">
      <c r="A18" s="105" t="s">
        <v>57</v>
      </c>
      <c r="B18" s="105">
        <v>198.4</v>
      </c>
      <c r="C18" s="105">
        <v>126</v>
      </c>
      <c r="D18" s="105">
        <v>80.599999999999994</v>
      </c>
      <c r="E18" s="105">
        <v>9</v>
      </c>
      <c r="F18" s="105" t="s">
        <v>371</v>
      </c>
      <c r="G18" s="105" t="s">
        <v>371</v>
      </c>
      <c r="H18" s="105">
        <v>72</v>
      </c>
      <c r="I18" s="105">
        <v>176.7</v>
      </c>
      <c r="J18" s="105">
        <v>653.70000000000005</v>
      </c>
      <c r="K18" s="105">
        <v>662.7</v>
      </c>
    </row>
    <row r="19" spans="1:11">
      <c r="A19" s="105" t="s">
        <v>59</v>
      </c>
      <c r="B19" s="105">
        <v>365.8</v>
      </c>
      <c r="C19" s="105">
        <v>298.2</v>
      </c>
      <c r="D19" s="105">
        <v>251.1</v>
      </c>
      <c r="E19" s="105">
        <v>177</v>
      </c>
      <c r="F19" s="105">
        <v>37.200000000000003</v>
      </c>
      <c r="G19" s="105">
        <v>93</v>
      </c>
      <c r="H19" s="105">
        <v>243</v>
      </c>
      <c r="I19" s="105">
        <v>362.7</v>
      </c>
      <c r="J19" s="129">
        <v>1520.8</v>
      </c>
      <c r="K19" s="129">
        <v>1828</v>
      </c>
    </row>
    <row r="20" spans="1:11">
      <c r="A20" s="105" t="s">
        <v>60</v>
      </c>
      <c r="B20" s="105">
        <v>238.7</v>
      </c>
      <c r="C20" s="105">
        <v>176.4</v>
      </c>
      <c r="D20" s="105">
        <v>133.30000000000001</v>
      </c>
      <c r="E20" s="105">
        <v>66</v>
      </c>
      <c r="F20" s="105" t="s">
        <v>371</v>
      </c>
      <c r="G20" s="105" t="s">
        <v>371</v>
      </c>
      <c r="H20" s="105">
        <v>111</v>
      </c>
      <c r="I20" s="105">
        <v>213.9</v>
      </c>
      <c r="J20" s="105">
        <v>873.3</v>
      </c>
      <c r="K20" s="105">
        <v>939.3</v>
      </c>
    </row>
    <row r="21" spans="1:11">
      <c r="A21" s="105" t="s">
        <v>376</v>
      </c>
      <c r="B21" s="105">
        <v>167.4</v>
      </c>
      <c r="C21" s="105">
        <v>162.4</v>
      </c>
      <c r="D21" s="105">
        <v>145.69999999999999</v>
      </c>
      <c r="E21" s="105">
        <v>108</v>
      </c>
      <c r="F21" s="105">
        <v>46.5</v>
      </c>
      <c r="G21" s="105" t="s">
        <v>371</v>
      </c>
      <c r="H21" s="105">
        <v>87</v>
      </c>
      <c r="I21" s="105">
        <v>151.9</v>
      </c>
      <c r="J21" s="105">
        <v>714.4</v>
      </c>
      <c r="K21" s="105">
        <v>868.9</v>
      </c>
    </row>
    <row r="22" spans="1:11">
      <c r="A22" s="105" t="s">
        <v>61</v>
      </c>
      <c r="B22" s="105">
        <v>257.3</v>
      </c>
      <c r="C22" s="105">
        <v>196</v>
      </c>
      <c r="D22" s="105">
        <v>155</v>
      </c>
      <c r="E22" s="105">
        <v>69</v>
      </c>
      <c r="F22" s="105" t="s">
        <v>371</v>
      </c>
      <c r="G22" s="105" t="s">
        <v>371</v>
      </c>
      <c r="H22" s="105">
        <v>132</v>
      </c>
      <c r="I22" s="105">
        <v>232.5</v>
      </c>
      <c r="J22" s="105">
        <v>972.8</v>
      </c>
      <c r="K22" s="129">
        <v>1041.8</v>
      </c>
    </row>
    <row r="23" spans="1:11">
      <c r="A23" s="105" t="s">
        <v>62</v>
      </c>
      <c r="B23" s="105">
        <v>319.3</v>
      </c>
      <c r="C23" s="105">
        <v>249.2</v>
      </c>
      <c r="D23" s="105">
        <v>207.7</v>
      </c>
      <c r="E23" s="105">
        <v>132</v>
      </c>
      <c r="F23" s="105" t="s">
        <v>371</v>
      </c>
      <c r="G23" s="105">
        <v>49.6</v>
      </c>
      <c r="H23" s="105">
        <v>207</v>
      </c>
      <c r="I23" s="105">
        <v>303.8</v>
      </c>
      <c r="J23" s="129">
        <v>1287</v>
      </c>
      <c r="K23" s="129">
        <v>1468.6</v>
      </c>
    </row>
    <row r="24" spans="1:11">
      <c r="A24" s="105" t="s">
        <v>63</v>
      </c>
      <c r="B24" s="105">
        <v>136.4</v>
      </c>
      <c r="C24" s="105">
        <v>86.8</v>
      </c>
      <c r="D24" s="105">
        <v>46.5</v>
      </c>
      <c r="E24" s="105" t="s">
        <v>371</v>
      </c>
      <c r="F24" s="105" t="s">
        <v>371</v>
      </c>
      <c r="G24" s="105" t="s">
        <v>371</v>
      </c>
      <c r="H24" s="105">
        <v>21</v>
      </c>
      <c r="I24" s="105">
        <v>111.6</v>
      </c>
      <c r="J24" s="105">
        <v>402.3</v>
      </c>
      <c r="K24" s="105">
        <v>402.3</v>
      </c>
    </row>
    <row r="25" spans="1:11">
      <c r="A25" s="105" t="s">
        <v>64</v>
      </c>
      <c r="B25" s="105">
        <v>319.3</v>
      </c>
      <c r="C25" s="105">
        <v>243.6</v>
      </c>
      <c r="D25" s="105">
        <v>189.1</v>
      </c>
      <c r="E25" s="105">
        <v>99</v>
      </c>
      <c r="F25" s="105" t="s">
        <v>371</v>
      </c>
      <c r="G25" s="105">
        <v>18.600000000000001</v>
      </c>
      <c r="H25" s="105">
        <v>186</v>
      </c>
      <c r="I25" s="105">
        <v>294.5</v>
      </c>
      <c r="J25" s="129">
        <v>1232.5</v>
      </c>
      <c r="K25" s="129">
        <v>1350.1</v>
      </c>
    </row>
    <row r="26" spans="1:11">
      <c r="A26" s="105" t="s">
        <v>65</v>
      </c>
      <c r="B26" s="105">
        <v>217</v>
      </c>
      <c r="C26" s="105">
        <v>165.2</v>
      </c>
      <c r="D26" s="105">
        <v>124</v>
      </c>
      <c r="E26" s="105">
        <v>39</v>
      </c>
      <c r="F26" s="105" t="s">
        <v>371</v>
      </c>
      <c r="G26" s="105" t="s">
        <v>371</v>
      </c>
      <c r="H26" s="105">
        <v>93</v>
      </c>
      <c r="I26" s="105">
        <v>192.2</v>
      </c>
      <c r="J26" s="105">
        <v>791.4</v>
      </c>
      <c r="K26" s="105">
        <v>830.4</v>
      </c>
    </row>
    <row r="27" spans="1:11">
      <c r="A27" s="105" t="s">
        <v>377</v>
      </c>
      <c r="B27" s="105">
        <v>170.5</v>
      </c>
      <c r="C27" s="105">
        <v>142.80000000000001</v>
      </c>
      <c r="D27" s="105">
        <v>139.5</v>
      </c>
      <c r="E27" s="105">
        <v>99</v>
      </c>
      <c r="F27" s="105">
        <v>31</v>
      </c>
      <c r="G27" s="105">
        <v>9.3000000000000007</v>
      </c>
      <c r="H27" s="105">
        <v>99</v>
      </c>
      <c r="I27" s="105">
        <v>136.4</v>
      </c>
      <c r="J27" s="105">
        <v>688.2</v>
      </c>
      <c r="K27" s="105">
        <v>827.5</v>
      </c>
    </row>
    <row r="28" spans="1:11">
      <c r="A28" s="105" t="s">
        <v>66</v>
      </c>
      <c r="B28" s="105">
        <v>403</v>
      </c>
      <c r="C28" s="105">
        <v>333.2</v>
      </c>
      <c r="D28" s="105">
        <v>297.60000000000002</v>
      </c>
      <c r="E28" s="105">
        <v>204</v>
      </c>
      <c r="F28" s="105">
        <v>80.599999999999994</v>
      </c>
      <c r="G28" s="105">
        <v>164.3</v>
      </c>
      <c r="H28" s="105">
        <v>291</v>
      </c>
      <c r="I28" s="105">
        <v>368.9</v>
      </c>
      <c r="J28" s="129">
        <v>1693.7</v>
      </c>
      <c r="K28" s="129">
        <v>2142.6</v>
      </c>
    </row>
    <row r="29" spans="1:11">
      <c r="A29" s="105" t="s">
        <v>67</v>
      </c>
      <c r="B29" s="105">
        <v>334.8</v>
      </c>
      <c r="C29" s="105">
        <v>210</v>
      </c>
      <c r="D29" s="105">
        <v>114.7</v>
      </c>
      <c r="E29" s="105">
        <v>36</v>
      </c>
      <c r="F29" s="105" t="s">
        <v>371</v>
      </c>
      <c r="G29" s="105" t="s">
        <v>371</v>
      </c>
      <c r="H29" s="105">
        <v>183</v>
      </c>
      <c r="I29" s="105">
        <v>347.2</v>
      </c>
      <c r="J29" s="129">
        <v>1189.7</v>
      </c>
      <c r="K29" s="129">
        <v>1225.7</v>
      </c>
    </row>
    <row r="30" spans="1:11">
      <c r="A30" s="105" t="s">
        <v>68</v>
      </c>
      <c r="B30" s="105">
        <v>316.2</v>
      </c>
      <c r="C30" s="105">
        <v>240.8</v>
      </c>
      <c r="D30" s="105">
        <v>195.3</v>
      </c>
      <c r="E30" s="105">
        <v>129</v>
      </c>
      <c r="F30" s="105" t="s">
        <v>371</v>
      </c>
      <c r="G30" s="105">
        <v>46.5</v>
      </c>
      <c r="H30" s="105">
        <v>195</v>
      </c>
      <c r="I30" s="105">
        <v>282.10000000000002</v>
      </c>
      <c r="J30" s="129">
        <v>1229.4000000000001</v>
      </c>
      <c r="K30" s="129">
        <v>1404.9</v>
      </c>
    </row>
    <row r="31" spans="1:11">
      <c r="A31" s="105" t="s">
        <v>69</v>
      </c>
      <c r="B31" s="105">
        <v>328.6</v>
      </c>
      <c r="C31" s="105">
        <v>263.2</v>
      </c>
      <c r="D31" s="105">
        <v>263.5</v>
      </c>
      <c r="E31" s="105">
        <v>204</v>
      </c>
      <c r="F31" s="105">
        <v>74.400000000000006</v>
      </c>
      <c r="G31" s="105">
        <v>114.7</v>
      </c>
      <c r="H31" s="105">
        <v>228</v>
      </c>
      <c r="I31" s="105">
        <v>294.5</v>
      </c>
      <c r="J31" s="129">
        <v>1377.8</v>
      </c>
      <c r="K31" s="129">
        <v>1770.9</v>
      </c>
    </row>
    <row r="32" spans="1:11">
      <c r="A32" s="105" t="s">
        <v>70</v>
      </c>
      <c r="B32" s="105">
        <v>316.2</v>
      </c>
      <c r="C32" s="105">
        <v>246.4</v>
      </c>
      <c r="D32" s="105">
        <v>192.2</v>
      </c>
      <c r="E32" s="105">
        <v>102</v>
      </c>
      <c r="F32" s="105" t="s">
        <v>371</v>
      </c>
      <c r="G32" s="105">
        <v>43.4</v>
      </c>
      <c r="H32" s="105">
        <v>204</v>
      </c>
      <c r="I32" s="105">
        <v>300.7</v>
      </c>
      <c r="J32" s="129">
        <v>1259.5</v>
      </c>
      <c r="K32" s="129">
        <v>1404.9</v>
      </c>
    </row>
    <row r="33" spans="1:11">
      <c r="A33" s="105" t="s">
        <v>71</v>
      </c>
      <c r="B33" s="105">
        <v>83.7</v>
      </c>
      <c r="C33" s="105">
        <v>61.6</v>
      </c>
      <c r="D33" s="105">
        <v>37.200000000000003</v>
      </c>
      <c r="E33" s="105" t="s">
        <v>371</v>
      </c>
      <c r="F33" s="105" t="s">
        <v>371</v>
      </c>
      <c r="G33" s="105" t="s">
        <v>371</v>
      </c>
      <c r="H33" s="105" t="s">
        <v>371</v>
      </c>
      <c r="I33" s="105">
        <v>65.099999999999994</v>
      </c>
      <c r="J33" s="105">
        <v>247.6</v>
      </c>
      <c r="K33" s="105">
        <v>247.6</v>
      </c>
    </row>
    <row r="34" spans="1:11">
      <c r="A34" s="105" t="s">
        <v>73</v>
      </c>
      <c r="B34" s="105">
        <v>148.80000000000001</v>
      </c>
      <c r="C34" s="105">
        <v>92.4</v>
      </c>
      <c r="D34" s="105">
        <v>43.4</v>
      </c>
      <c r="E34" s="105" t="s">
        <v>371</v>
      </c>
      <c r="F34" s="105" t="s">
        <v>371</v>
      </c>
      <c r="G34" s="105" t="s">
        <v>371</v>
      </c>
      <c r="H34" s="105">
        <v>27</v>
      </c>
      <c r="I34" s="105">
        <v>120.9</v>
      </c>
      <c r="J34" s="105">
        <v>432.5</v>
      </c>
      <c r="K34" s="105">
        <v>432.5</v>
      </c>
    </row>
    <row r="35" spans="1:11">
      <c r="A35" s="105" t="s">
        <v>378</v>
      </c>
      <c r="B35" s="105">
        <v>244.9</v>
      </c>
      <c r="C35" s="105">
        <v>168</v>
      </c>
      <c r="D35" s="105">
        <v>136.4</v>
      </c>
      <c r="E35" s="105">
        <v>57</v>
      </c>
      <c r="F35" s="105" t="s">
        <v>371</v>
      </c>
      <c r="G35" s="105" t="s">
        <v>371</v>
      </c>
      <c r="H35" s="105">
        <v>141</v>
      </c>
      <c r="I35" s="105">
        <v>220.1</v>
      </c>
      <c r="J35" s="105">
        <v>910.4</v>
      </c>
      <c r="K35" s="105">
        <v>967.4</v>
      </c>
    </row>
    <row r="36" spans="1:11">
      <c r="A36" s="105" t="s">
        <v>75</v>
      </c>
      <c r="B36" s="105">
        <v>244.9</v>
      </c>
      <c r="C36" s="105">
        <v>193.2</v>
      </c>
      <c r="D36" s="105">
        <v>179.8</v>
      </c>
      <c r="E36" s="105">
        <v>138</v>
      </c>
      <c r="F36" s="105">
        <v>46.5</v>
      </c>
      <c r="G36" s="105">
        <v>37.200000000000003</v>
      </c>
      <c r="H36" s="105">
        <v>153</v>
      </c>
      <c r="I36" s="105">
        <v>207.7</v>
      </c>
      <c r="J36" s="105">
        <v>978.6</v>
      </c>
      <c r="K36" s="129">
        <v>1200.3</v>
      </c>
    </row>
    <row r="37" spans="1:11">
      <c r="A37" s="105" t="s">
        <v>76</v>
      </c>
      <c r="B37" s="105">
        <v>362.7</v>
      </c>
      <c r="C37" s="105">
        <v>282.8</v>
      </c>
      <c r="D37" s="105">
        <v>241.8</v>
      </c>
      <c r="E37" s="105">
        <v>171</v>
      </c>
      <c r="F37" s="105">
        <v>37.200000000000003</v>
      </c>
      <c r="G37" s="105">
        <v>89.9</v>
      </c>
      <c r="H37" s="105">
        <v>252</v>
      </c>
      <c r="I37" s="105">
        <v>344.1</v>
      </c>
      <c r="J37" s="129">
        <v>1483.4</v>
      </c>
      <c r="K37" s="129">
        <v>1781.5</v>
      </c>
    </row>
    <row r="38" spans="1:11">
      <c r="A38" s="105" t="s">
        <v>78</v>
      </c>
      <c r="B38" s="105">
        <v>325.5</v>
      </c>
      <c r="C38" s="105">
        <v>266</v>
      </c>
      <c r="D38" s="105">
        <v>217</v>
      </c>
      <c r="E38" s="105">
        <v>147</v>
      </c>
      <c r="F38" s="105">
        <v>24.8</v>
      </c>
      <c r="G38" s="105">
        <v>58.9</v>
      </c>
      <c r="H38" s="105">
        <v>204</v>
      </c>
      <c r="I38" s="105">
        <v>291.39999999999998</v>
      </c>
      <c r="J38" s="129">
        <v>1303.9000000000001</v>
      </c>
      <c r="K38" s="129">
        <v>1534.6</v>
      </c>
    </row>
    <row r="39" spans="1:11">
      <c r="A39" s="105" t="s">
        <v>79</v>
      </c>
      <c r="B39" s="105">
        <v>201.5</v>
      </c>
      <c r="C39" s="105">
        <v>156.80000000000001</v>
      </c>
      <c r="D39" s="105">
        <v>136.4</v>
      </c>
      <c r="E39" s="105">
        <v>81</v>
      </c>
      <c r="F39" s="105">
        <v>3.1</v>
      </c>
      <c r="G39" s="105">
        <v>15.5</v>
      </c>
      <c r="H39" s="105">
        <v>120</v>
      </c>
      <c r="I39" s="105">
        <v>176.7</v>
      </c>
      <c r="J39" s="105">
        <v>791.4</v>
      </c>
      <c r="K39" s="105">
        <v>891</v>
      </c>
    </row>
    <row r="40" spans="1:11">
      <c r="A40" s="105" t="s">
        <v>80</v>
      </c>
      <c r="B40" s="105">
        <v>350.3</v>
      </c>
      <c r="C40" s="105">
        <v>280</v>
      </c>
      <c r="D40" s="105">
        <v>232.5</v>
      </c>
      <c r="E40" s="105">
        <v>144</v>
      </c>
      <c r="F40" s="105">
        <v>12.4</v>
      </c>
      <c r="G40" s="105">
        <v>80.599999999999994</v>
      </c>
      <c r="H40" s="105">
        <v>240</v>
      </c>
      <c r="I40" s="105">
        <v>322.39999999999998</v>
      </c>
      <c r="J40" s="129">
        <v>1425.2</v>
      </c>
      <c r="K40" s="129">
        <v>1662.2</v>
      </c>
    </row>
    <row r="41" spans="1:11">
      <c r="A41" s="105" t="s">
        <v>379</v>
      </c>
      <c r="B41" s="105">
        <v>207.7</v>
      </c>
      <c r="C41" s="105">
        <v>179.2</v>
      </c>
      <c r="D41" s="105">
        <v>142.6</v>
      </c>
      <c r="E41" s="105">
        <v>99</v>
      </c>
      <c r="F41" s="105">
        <v>6.2</v>
      </c>
      <c r="G41" s="105" t="s">
        <v>371</v>
      </c>
      <c r="H41" s="105">
        <v>111</v>
      </c>
      <c r="I41" s="105">
        <v>167.4</v>
      </c>
      <c r="J41" s="105">
        <v>807.9</v>
      </c>
      <c r="K41" s="105">
        <v>913.1</v>
      </c>
    </row>
    <row r="42" spans="1:11">
      <c r="A42" s="105" t="s">
        <v>82</v>
      </c>
      <c r="B42" s="105">
        <v>158.1</v>
      </c>
      <c r="C42" s="105">
        <v>131.6</v>
      </c>
      <c r="D42" s="105">
        <v>124</v>
      </c>
      <c r="E42" s="105">
        <v>90</v>
      </c>
      <c r="F42" s="105" t="s">
        <v>371</v>
      </c>
      <c r="G42" s="105" t="s">
        <v>371</v>
      </c>
      <c r="H42" s="105">
        <v>84</v>
      </c>
      <c r="I42" s="105">
        <v>136.4</v>
      </c>
      <c r="J42" s="105">
        <v>634.1</v>
      </c>
      <c r="K42" s="105">
        <v>724.1</v>
      </c>
    </row>
    <row r="43" spans="1:11">
      <c r="A43" s="105" t="s">
        <v>380</v>
      </c>
      <c r="B43" s="105">
        <v>213.9</v>
      </c>
      <c r="C43" s="105">
        <v>176.4</v>
      </c>
      <c r="D43" s="105">
        <v>158.1</v>
      </c>
      <c r="E43" s="105">
        <v>114</v>
      </c>
      <c r="F43" s="105">
        <v>18.600000000000001</v>
      </c>
      <c r="G43" s="105">
        <v>21.7</v>
      </c>
      <c r="H43" s="105">
        <v>138</v>
      </c>
      <c r="I43" s="105">
        <v>189.1</v>
      </c>
      <c r="J43" s="105">
        <v>875.5</v>
      </c>
      <c r="K43" s="129">
        <v>1029.8</v>
      </c>
    </row>
    <row r="44" spans="1:11">
      <c r="A44" s="105" t="s">
        <v>83</v>
      </c>
      <c r="B44" s="105">
        <v>368.9</v>
      </c>
      <c r="C44" s="105">
        <v>299.60000000000002</v>
      </c>
      <c r="D44" s="105">
        <v>260.39999999999998</v>
      </c>
      <c r="E44" s="105">
        <v>177</v>
      </c>
      <c r="F44" s="105">
        <v>52.7</v>
      </c>
      <c r="G44" s="105">
        <v>102.3</v>
      </c>
      <c r="H44" s="105">
        <v>258</v>
      </c>
      <c r="I44" s="105">
        <v>347.2</v>
      </c>
      <c r="J44" s="129">
        <v>1534.1</v>
      </c>
      <c r="K44" s="129">
        <v>1866.1</v>
      </c>
    </row>
    <row r="45" spans="1:11">
      <c r="A45" s="105" t="s">
        <v>84</v>
      </c>
      <c r="B45" s="105">
        <v>151.9</v>
      </c>
      <c r="C45" s="105">
        <v>95.2</v>
      </c>
      <c r="D45" s="105">
        <v>37.200000000000003</v>
      </c>
      <c r="E45" s="105" t="s">
        <v>371</v>
      </c>
      <c r="F45" s="105" t="s">
        <v>371</v>
      </c>
      <c r="G45" s="105" t="s">
        <v>371</v>
      </c>
      <c r="H45" s="105">
        <v>27</v>
      </c>
      <c r="I45" s="105">
        <v>127.1</v>
      </c>
      <c r="J45" s="105">
        <v>438.4</v>
      </c>
      <c r="K45" s="105">
        <v>438.4</v>
      </c>
    </row>
    <row r="46" spans="1:11">
      <c r="A46" s="105" t="s">
        <v>85</v>
      </c>
      <c r="B46" s="105">
        <v>381.3</v>
      </c>
      <c r="C46" s="105">
        <v>319.2</v>
      </c>
      <c r="D46" s="105">
        <v>282.10000000000002</v>
      </c>
      <c r="E46" s="105">
        <v>198</v>
      </c>
      <c r="F46" s="105">
        <v>74.400000000000006</v>
      </c>
      <c r="G46" s="105">
        <v>96.1</v>
      </c>
      <c r="H46" s="105">
        <v>270</v>
      </c>
      <c r="I46" s="105">
        <v>356.5</v>
      </c>
      <c r="J46" s="129">
        <v>1609.1</v>
      </c>
      <c r="K46" s="129">
        <v>1977.6</v>
      </c>
    </row>
    <row r="47" spans="1:11">
      <c r="A47" s="105" t="s">
        <v>86</v>
      </c>
      <c r="B47" s="105">
        <v>170.5</v>
      </c>
      <c r="C47" s="105">
        <v>117.6</v>
      </c>
      <c r="D47" s="105">
        <v>96.1</v>
      </c>
      <c r="E47" s="105">
        <v>42</v>
      </c>
      <c r="F47" s="105" t="s">
        <v>371</v>
      </c>
      <c r="G47" s="105" t="s">
        <v>371</v>
      </c>
      <c r="H47" s="105">
        <v>60</v>
      </c>
      <c r="I47" s="105">
        <v>139.5</v>
      </c>
      <c r="J47" s="105">
        <v>583.70000000000005</v>
      </c>
      <c r="K47" s="105">
        <v>625.70000000000005</v>
      </c>
    </row>
    <row r="48" spans="1:11">
      <c r="A48" s="105" t="s">
        <v>87</v>
      </c>
      <c r="B48" s="105">
        <v>368.9</v>
      </c>
      <c r="C48" s="105">
        <v>302.39999999999998</v>
      </c>
      <c r="D48" s="105">
        <v>257.3</v>
      </c>
      <c r="E48" s="105">
        <v>165</v>
      </c>
      <c r="F48" s="105">
        <v>40.299999999999997</v>
      </c>
      <c r="G48" s="105">
        <v>86.8</v>
      </c>
      <c r="H48" s="105">
        <v>240</v>
      </c>
      <c r="I48" s="105">
        <v>341</v>
      </c>
      <c r="J48" s="129">
        <v>1509.6</v>
      </c>
      <c r="K48" s="129">
        <v>1801.7</v>
      </c>
    </row>
    <row r="49" spans="1:11">
      <c r="A49" s="105" t="s">
        <v>88</v>
      </c>
      <c r="B49" s="105">
        <v>285.2</v>
      </c>
      <c r="C49" s="105">
        <v>207.2</v>
      </c>
      <c r="D49" s="105">
        <v>168.1</v>
      </c>
      <c r="E49" s="105">
        <v>69</v>
      </c>
      <c r="F49" s="105" t="s">
        <v>371</v>
      </c>
      <c r="G49" s="105" t="s">
        <v>371</v>
      </c>
      <c r="H49" s="105">
        <v>165</v>
      </c>
      <c r="I49" s="105">
        <v>263.5</v>
      </c>
      <c r="J49" s="129">
        <v>1089</v>
      </c>
      <c r="K49" s="129">
        <v>1158</v>
      </c>
    </row>
    <row r="50" spans="1:11">
      <c r="A50" s="105" t="s">
        <v>381</v>
      </c>
      <c r="B50" s="105">
        <v>182.9</v>
      </c>
      <c r="C50" s="105">
        <v>126</v>
      </c>
      <c r="D50" s="105">
        <v>83.7</v>
      </c>
      <c r="E50" s="105">
        <v>9</v>
      </c>
      <c r="F50" s="105" t="s">
        <v>371</v>
      </c>
      <c r="G50" s="105" t="s">
        <v>371</v>
      </c>
      <c r="H50" s="105">
        <v>63</v>
      </c>
      <c r="I50" s="105">
        <v>151.9</v>
      </c>
      <c r="J50" s="105">
        <v>607.5</v>
      </c>
      <c r="K50" s="105">
        <v>616.5</v>
      </c>
    </row>
    <row r="51" spans="1:11">
      <c r="A51" s="105" t="s">
        <v>89</v>
      </c>
      <c r="B51" s="105">
        <v>155</v>
      </c>
      <c r="C51" s="105">
        <v>117.6</v>
      </c>
      <c r="D51" s="105">
        <v>74.400000000000006</v>
      </c>
      <c r="E51" s="105">
        <v>6</v>
      </c>
      <c r="F51" s="105" t="s">
        <v>371</v>
      </c>
      <c r="G51" s="105" t="s">
        <v>371</v>
      </c>
      <c r="H51" s="105">
        <v>42</v>
      </c>
      <c r="I51" s="105">
        <v>120.9</v>
      </c>
      <c r="J51" s="105">
        <v>509.9</v>
      </c>
      <c r="K51" s="105">
        <v>515.9</v>
      </c>
    </row>
    <row r="52" spans="1:11">
      <c r="A52" s="105" t="s">
        <v>90</v>
      </c>
      <c r="B52" s="105">
        <v>359.6</v>
      </c>
      <c r="C52" s="105">
        <v>277.2</v>
      </c>
      <c r="D52" s="105">
        <v>232.5</v>
      </c>
      <c r="E52" s="105">
        <v>150</v>
      </c>
      <c r="F52" s="105">
        <v>21.7</v>
      </c>
      <c r="G52" s="105">
        <v>93</v>
      </c>
      <c r="H52" s="105">
        <v>240</v>
      </c>
      <c r="I52" s="105">
        <v>334.8</v>
      </c>
      <c r="J52" s="129">
        <v>1444.1</v>
      </c>
      <c r="K52" s="129">
        <v>1708.8</v>
      </c>
    </row>
    <row r="53" spans="1:11">
      <c r="A53" s="105" t="s">
        <v>382</v>
      </c>
      <c r="B53" s="105">
        <v>182.9</v>
      </c>
      <c r="C53" s="105">
        <v>142.80000000000001</v>
      </c>
      <c r="D53" s="105">
        <v>133.30000000000001</v>
      </c>
      <c r="E53" s="105">
        <v>87</v>
      </c>
      <c r="F53" s="105">
        <v>3.1</v>
      </c>
      <c r="G53" s="105">
        <v>6.2</v>
      </c>
      <c r="H53" s="105">
        <v>99</v>
      </c>
      <c r="I53" s="105">
        <v>151.9</v>
      </c>
      <c r="J53" s="105">
        <v>709.9</v>
      </c>
      <c r="K53" s="105">
        <v>806.2</v>
      </c>
    </row>
    <row r="54" spans="1:11">
      <c r="A54" s="105" t="s">
        <v>383</v>
      </c>
      <c r="B54" s="105">
        <v>313.10000000000002</v>
      </c>
      <c r="C54" s="105">
        <v>254.8</v>
      </c>
      <c r="D54" s="105">
        <v>226.3</v>
      </c>
      <c r="E54" s="105">
        <v>168</v>
      </c>
      <c r="F54" s="105">
        <v>55.8</v>
      </c>
      <c r="G54" s="105">
        <v>62</v>
      </c>
      <c r="H54" s="105">
        <v>222</v>
      </c>
      <c r="I54" s="105">
        <v>297.60000000000002</v>
      </c>
      <c r="J54" s="129">
        <v>1313.8</v>
      </c>
      <c r="K54" s="129">
        <v>1599.6</v>
      </c>
    </row>
    <row r="55" spans="1:11">
      <c r="A55" s="105" t="s">
        <v>92</v>
      </c>
      <c r="B55" s="105">
        <v>334.8</v>
      </c>
      <c r="C55" s="105">
        <v>260.39999999999998</v>
      </c>
      <c r="D55" s="105">
        <v>198.4</v>
      </c>
      <c r="E55" s="105">
        <v>132</v>
      </c>
      <c r="F55" s="105">
        <v>6.2</v>
      </c>
      <c r="G55" s="105">
        <v>58.9</v>
      </c>
      <c r="H55" s="105">
        <v>222</v>
      </c>
      <c r="I55" s="105">
        <v>288.3</v>
      </c>
      <c r="J55" s="129">
        <v>1303.9000000000001</v>
      </c>
      <c r="K55" s="129">
        <v>1501</v>
      </c>
    </row>
    <row r="56" spans="1:11">
      <c r="A56" s="105" t="s">
        <v>93</v>
      </c>
      <c r="B56" s="105">
        <v>291.39999999999998</v>
      </c>
      <c r="C56" s="105">
        <v>210</v>
      </c>
      <c r="D56" s="105">
        <v>151.9</v>
      </c>
      <c r="E56" s="105">
        <v>75</v>
      </c>
      <c r="F56" s="105" t="s">
        <v>371</v>
      </c>
      <c r="G56" s="105">
        <v>6.2</v>
      </c>
      <c r="H56" s="105">
        <v>162</v>
      </c>
      <c r="I56" s="105">
        <v>254.2</v>
      </c>
      <c r="J56" s="129">
        <v>1069.5</v>
      </c>
      <c r="K56" s="129">
        <v>1150.7</v>
      </c>
    </row>
    <row r="57" spans="1:11">
      <c r="A57" s="105" t="s">
        <v>384</v>
      </c>
      <c r="B57" s="105">
        <v>136.4</v>
      </c>
      <c r="C57" s="105">
        <v>117.6</v>
      </c>
      <c r="D57" s="105">
        <v>83.7</v>
      </c>
      <c r="E57" s="105">
        <v>30</v>
      </c>
      <c r="F57" s="105" t="s">
        <v>371</v>
      </c>
      <c r="G57" s="105" t="s">
        <v>371</v>
      </c>
      <c r="H57" s="105">
        <v>12</v>
      </c>
      <c r="I57" s="105">
        <v>96.1</v>
      </c>
      <c r="J57" s="105">
        <v>445.8</v>
      </c>
      <c r="K57" s="105">
        <v>475.8</v>
      </c>
    </row>
    <row r="58" spans="1:11">
      <c r="A58" s="105" t="s">
        <v>385</v>
      </c>
      <c r="B58" s="105">
        <v>155</v>
      </c>
      <c r="C58" s="105">
        <v>126</v>
      </c>
      <c r="D58" s="105">
        <v>86.8</v>
      </c>
      <c r="E58" s="105">
        <v>24</v>
      </c>
      <c r="F58" s="105" t="s">
        <v>371</v>
      </c>
      <c r="G58" s="105" t="s">
        <v>371</v>
      </c>
      <c r="H58" s="105">
        <v>24</v>
      </c>
      <c r="I58" s="105">
        <v>111.6</v>
      </c>
      <c r="J58" s="105">
        <v>503.4</v>
      </c>
      <c r="K58" s="105">
        <v>527.4</v>
      </c>
    </row>
    <row r="59" spans="1:11">
      <c r="A59" s="105" t="s">
        <v>386</v>
      </c>
      <c r="B59" s="105">
        <v>350.3</v>
      </c>
      <c r="C59" s="105">
        <v>322</v>
      </c>
      <c r="D59" s="105">
        <v>319.3</v>
      </c>
      <c r="E59" s="105">
        <v>255</v>
      </c>
      <c r="F59" s="105">
        <v>179.8</v>
      </c>
      <c r="G59" s="105">
        <v>161.19999999999999</v>
      </c>
      <c r="H59" s="105">
        <v>261</v>
      </c>
      <c r="I59" s="105">
        <v>325.5</v>
      </c>
      <c r="J59" s="129">
        <v>1674.1</v>
      </c>
      <c r="K59" s="129">
        <v>2270.1</v>
      </c>
    </row>
    <row r="60" spans="1:11">
      <c r="A60" s="105" t="s">
        <v>387</v>
      </c>
      <c r="B60" s="105">
        <v>77.5</v>
      </c>
      <c r="C60" s="105">
        <v>64.400000000000006</v>
      </c>
      <c r="D60" s="105">
        <v>46.5</v>
      </c>
      <c r="E60" s="105">
        <v>18</v>
      </c>
      <c r="F60" s="105" t="s">
        <v>371</v>
      </c>
      <c r="G60" s="105" t="s">
        <v>371</v>
      </c>
      <c r="H60" s="105" t="s">
        <v>371</v>
      </c>
      <c r="I60" s="105">
        <v>52.7</v>
      </c>
      <c r="J60" s="105">
        <v>241.1</v>
      </c>
      <c r="K60" s="105">
        <v>259.10000000000002</v>
      </c>
    </row>
    <row r="61" spans="1:11">
      <c r="A61" s="105" t="s">
        <v>388</v>
      </c>
      <c r="B61" s="105" t="s">
        <v>371</v>
      </c>
      <c r="C61" s="105" t="s">
        <v>371</v>
      </c>
      <c r="D61" s="105" t="s">
        <v>371</v>
      </c>
      <c r="E61" s="105" t="s">
        <v>371</v>
      </c>
      <c r="F61" s="105" t="s">
        <v>371</v>
      </c>
      <c r="G61" s="105" t="s">
        <v>371</v>
      </c>
      <c r="H61" s="105" t="s">
        <v>371</v>
      </c>
      <c r="I61" s="105" t="s">
        <v>371</v>
      </c>
      <c r="J61" s="105" t="s">
        <v>371</v>
      </c>
      <c r="K61" s="105" t="s">
        <v>371</v>
      </c>
    </row>
    <row r="62" spans="1:11">
      <c r="A62" s="105" t="s">
        <v>389</v>
      </c>
      <c r="B62" s="105" t="s">
        <v>371</v>
      </c>
      <c r="C62" s="105" t="s">
        <v>371</v>
      </c>
      <c r="D62" s="105" t="s">
        <v>371</v>
      </c>
      <c r="E62" s="105" t="s">
        <v>371</v>
      </c>
      <c r="F62" s="105" t="s">
        <v>371</v>
      </c>
      <c r="G62" s="105" t="s">
        <v>371</v>
      </c>
      <c r="H62" s="105" t="s">
        <v>371</v>
      </c>
      <c r="I62" s="105" t="s">
        <v>371</v>
      </c>
      <c r="J62" s="105" t="s">
        <v>371</v>
      </c>
      <c r="K62" s="105" t="s">
        <v>371</v>
      </c>
    </row>
    <row r="63" spans="1:11">
      <c r="A63" s="105" t="s">
        <v>55</v>
      </c>
      <c r="B63" s="105">
        <v>136.4</v>
      </c>
      <c r="C63" s="105">
        <v>126</v>
      </c>
      <c r="D63" s="105">
        <v>91</v>
      </c>
      <c r="E63" s="105">
        <v>48</v>
      </c>
      <c r="F63" s="105" t="s">
        <v>371</v>
      </c>
      <c r="G63" s="105" t="s">
        <v>371</v>
      </c>
      <c r="H63" s="105">
        <v>21</v>
      </c>
      <c r="I63" s="105">
        <v>58.9</v>
      </c>
      <c r="J63" s="105">
        <v>433.3</v>
      </c>
      <c r="K63" s="105">
        <v>481.3</v>
      </c>
    </row>
    <row r="64" spans="1:11">
      <c r="A64" s="105" t="s">
        <v>72</v>
      </c>
      <c r="B64" s="105">
        <v>80.599999999999994</v>
      </c>
      <c r="C64" s="105">
        <v>70</v>
      </c>
      <c r="D64" s="105">
        <v>24.8</v>
      </c>
      <c r="E64" s="105" t="s">
        <v>371</v>
      </c>
      <c r="F64" s="105" t="s">
        <v>371</v>
      </c>
      <c r="G64" s="105" t="s">
        <v>371</v>
      </c>
      <c r="H64" s="105" t="s">
        <v>371</v>
      </c>
      <c r="I64" s="105">
        <v>49.6</v>
      </c>
      <c r="J64" s="105">
        <v>225</v>
      </c>
      <c r="K64" s="105">
        <v>225</v>
      </c>
    </row>
  </sheetData>
  <mergeCells count="2">
    <mergeCell ref="A1:K1"/>
    <mergeCell ref="A2:K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/>
  <dimension ref="A1:AE63"/>
  <sheetViews>
    <sheetView showGridLines="0" showRowColHeaders="0" showRuler="0" view="pageLayout" topLeftCell="A13" workbookViewId="0"/>
  </sheetViews>
  <sheetFormatPr baseColWidth="10" defaultColWidth="11.42578125" defaultRowHeight="15"/>
  <cols>
    <col min="1" max="1" width="0.85546875" customWidth="1"/>
    <col min="2" max="2" width="16.42578125" customWidth="1"/>
    <col min="3" max="3" width="0.85546875" customWidth="1"/>
    <col min="4" max="4" width="16.42578125" customWidth="1"/>
    <col min="5" max="5" width="0.85546875" customWidth="1"/>
    <col min="6" max="6" width="16.42578125" customWidth="1"/>
    <col min="7" max="7" width="0.85546875" customWidth="1"/>
    <col min="8" max="8" width="16.42578125" customWidth="1"/>
    <col min="9" max="9" width="0.85546875" customWidth="1"/>
    <col min="10" max="10" width="16.42578125" customWidth="1"/>
    <col min="11" max="11" width="0.85546875" customWidth="1"/>
    <col min="12" max="12" width="6.5703125" customWidth="1"/>
    <col min="13" max="13" width="2.28515625" customWidth="1"/>
    <col min="14" max="14" width="1" customWidth="1"/>
    <col min="15" max="15" width="6.5703125" customWidth="1"/>
    <col min="16" max="16" width="1" customWidth="1"/>
    <col min="17" max="19" width="6.5703125" customWidth="1"/>
    <col min="20" max="20" width="1" customWidth="1"/>
    <col min="21" max="21" width="6.5703125" customWidth="1"/>
    <col min="22" max="22" width="2" customWidth="1"/>
    <col min="23" max="23" width="2.28515625" customWidth="1"/>
    <col min="24" max="24" width="6.5703125" customWidth="1"/>
    <col min="25" max="25" width="4.7109375" customWidth="1"/>
    <col min="26" max="26" width="1.42578125" customWidth="1"/>
    <col min="27" max="27" width="7.28515625" customWidth="1"/>
    <col min="28" max="28" width="6.7109375" customWidth="1"/>
    <col min="29" max="29" width="1.5703125" customWidth="1"/>
    <col min="30" max="30" width="7.42578125" customWidth="1"/>
    <col min="31" max="31" width="10" customWidth="1"/>
  </cols>
  <sheetData>
    <row r="1" spans="1:31" ht="8.4499999999999993" customHeight="1"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</row>
    <row r="2" spans="1:31" ht="25.5" customHeight="1">
      <c r="A2" s="131"/>
      <c r="B2" s="613" t="s">
        <v>601</v>
      </c>
      <c r="C2" s="613"/>
      <c r="D2" s="612" t="s">
        <v>583</v>
      </c>
      <c r="E2" s="612"/>
      <c r="F2" s="612"/>
      <c r="G2" s="612"/>
      <c r="H2" s="612"/>
      <c r="I2" s="614" t="s">
        <v>21</v>
      </c>
      <c r="J2" s="614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2"/>
      <c r="AD2" s="322"/>
    </row>
    <row r="3" spans="1:31" ht="8.4499999999999993" customHeight="1">
      <c r="A3" s="131"/>
      <c r="E3" s="460"/>
      <c r="F3" s="460"/>
      <c r="G3" s="461"/>
      <c r="H3" s="461"/>
      <c r="I3" s="461"/>
      <c r="J3" s="461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</row>
    <row r="4" spans="1:31" ht="12.95" customHeight="1">
      <c r="A4" s="131"/>
      <c r="B4" s="585" t="s">
        <v>22</v>
      </c>
      <c r="C4" s="586"/>
      <c r="D4" s="586"/>
      <c r="E4" s="586"/>
      <c r="F4" s="586"/>
      <c r="G4" s="586"/>
      <c r="H4" s="586"/>
      <c r="I4" s="586"/>
      <c r="J4" s="587"/>
      <c r="K4" s="322"/>
      <c r="L4" s="322"/>
      <c r="M4" s="322"/>
      <c r="N4" s="322"/>
      <c r="O4" s="322"/>
      <c r="P4" s="322"/>
      <c r="Q4" s="322"/>
      <c r="R4" s="322"/>
      <c r="S4" s="322"/>
      <c r="T4" s="322"/>
      <c r="U4" s="322"/>
      <c r="V4" s="322"/>
      <c r="W4" s="322"/>
      <c r="X4" s="322"/>
      <c r="Y4" s="322"/>
      <c r="Z4" s="322"/>
      <c r="AA4" s="322"/>
      <c r="AB4" s="322"/>
      <c r="AC4" s="322"/>
      <c r="AD4" s="322"/>
    </row>
    <row r="5" spans="1:31" ht="12" customHeight="1">
      <c r="A5" s="131"/>
      <c r="B5" s="137" t="s">
        <v>25</v>
      </c>
      <c r="C5" s="443"/>
      <c r="D5" s="443"/>
      <c r="E5" s="131"/>
      <c r="F5" s="137" t="s">
        <v>29</v>
      </c>
      <c r="G5" s="131"/>
      <c r="H5" s="131"/>
      <c r="I5" s="131"/>
      <c r="J5" s="131"/>
      <c r="K5" s="322"/>
      <c r="L5" s="322"/>
      <c r="M5" s="322"/>
      <c r="N5" s="322"/>
      <c r="O5" s="322"/>
      <c r="P5" s="322"/>
      <c r="Q5" s="322"/>
      <c r="R5" s="322"/>
      <c r="S5" s="322"/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</row>
    <row r="6" spans="1:31" ht="15" customHeight="1">
      <c r="A6" s="131"/>
      <c r="B6" s="609">
        <f>FORMULARIO!C6</f>
        <v>0</v>
      </c>
      <c r="C6" s="610"/>
      <c r="D6" s="611"/>
      <c r="E6" s="131"/>
      <c r="F6" s="609">
        <f>FORMULARIO!J6</f>
        <v>0</v>
      </c>
      <c r="G6" s="610"/>
      <c r="H6" s="610"/>
      <c r="I6" s="610"/>
      <c r="J6" s="611"/>
      <c r="K6" s="322"/>
      <c r="L6" s="322"/>
      <c r="M6" s="322"/>
      <c r="N6" s="322"/>
      <c r="O6" s="322"/>
      <c r="P6" s="322"/>
      <c r="Q6" s="322"/>
      <c r="R6" s="322"/>
      <c r="S6" s="322"/>
      <c r="T6" s="322"/>
      <c r="U6" s="322"/>
      <c r="V6" s="322"/>
      <c r="W6" s="322"/>
      <c r="X6" s="322"/>
      <c r="Y6" s="322"/>
      <c r="Z6" s="322"/>
      <c r="AA6" s="322"/>
      <c r="AB6" s="322"/>
      <c r="AC6" s="322"/>
      <c r="AD6" s="322"/>
    </row>
    <row r="7" spans="1:31" ht="12" customHeight="1">
      <c r="A7" s="131"/>
      <c r="B7" s="137" t="s">
        <v>143</v>
      </c>
      <c r="C7" s="137"/>
      <c r="D7" s="137" t="s">
        <v>28</v>
      </c>
      <c r="E7" s="137"/>
      <c r="F7" s="137" t="s">
        <v>30</v>
      </c>
      <c r="G7" s="137"/>
      <c r="H7" s="137" t="s">
        <v>27</v>
      </c>
      <c r="I7" s="137"/>
      <c r="J7" s="137" t="s">
        <v>433</v>
      </c>
      <c r="K7" s="322"/>
      <c r="L7" s="322"/>
      <c r="M7" s="322"/>
      <c r="N7" s="322"/>
      <c r="O7" s="322"/>
      <c r="P7" s="322"/>
      <c r="Q7" s="322"/>
      <c r="R7" s="322"/>
      <c r="S7" s="322"/>
      <c r="T7" s="322"/>
      <c r="U7" s="322"/>
      <c r="V7" s="322"/>
      <c r="W7" s="322"/>
      <c r="X7" s="322"/>
      <c r="Y7" s="322"/>
      <c r="Z7" s="322"/>
      <c r="AA7" s="322"/>
      <c r="AB7" s="322"/>
      <c r="AC7" s="322"/>
      <c r="AD7" s="322"/>
    </row>
    <row r="8" spans="1:31">
      <c r="A8" s="131"/>
      <c r="B8" s="418">
        <f>FORMULARIO!Y6</f>
        <v>0</v>
      </c>
      <c r="C8" s="131"/>
      <c r="D8" s="418">
        <f>FORMULARIO!C11</f>
        <v>0</v>
      </c>
      <c r="E8" s="131"/>
      <c r="F8" s="444" t="str">
        <f>FORMULARIO!H11</f>
        <v/>
      </c>
      <c r="G8" s="131"/>
      <c r="H8" s="418">
        <f>FORMULARIO!C13</f>
        <v>0</v>
      </c>
      <c r="I8" s="131"/>
      <c r="J8" s="607" t="str">
        <f>FORMULARIO!P11</f>
        <v/>
      </c>
      <c r="K8" s="322"/>
      <c r="L8" s="322"/>
      <c r="M8" s="322"/>
      <c r="N8" s="322"/>
      <c r="O8" s="322"/>
      <c r="P8" s="322"/>
      <c r="Q8" s="322"/>
      <c r="R8" s="322"/>
      <c r="S8" s="322"/>
      <c r="T8" s="322"/>
      <c r="U8" s="322"/>
      <c r="V8" s="322"/>
      <c r="W8" s="322"/>
      <c r="X8" s="322"/>
      <c r="Y8" s="322"/>
      <c r="Z8" s="322"/>
      <c r="AA8" s="322"/>
      <c r="AB8" s="322"/>
      <c r="AC8" s="322"/>
      <c r="AD8" s="322"/>
    </row>
    <row r="9" spans="1:31" ht="12" customHeight="1">
      <c r="A9" s="131"/>
      <c r="B9" s="137" t="s">
        <v>24</v>
      </c>
      <c r="C9" s="137"/>
      <c r="D9" s="137" t="s">
        <v>31</v>
      </c>
      <c r="E9" s="137"/>
      <c r="F9" s="137" t="s">
        <v>32</v>
      </c>
      <c r="G9" s="137"/>
      <c r="H9" s="137" t="s">
        <v>26</v>
      </c>
      <c r="I9" s="131"/>
      <c r="J9" s="608"/>
      <c r="K9" s="322"/>
      <c r="L9" s="322"/>
      <c r="M9" s="322"/>
      <c r="N9" s="322"/>
      <c r="O9" s="322"/>
      <c r="P9" s="322"/>
      <c r="Q9" s="322"/>
      <c r="R9" s="322"/>
      <c r="S9" s="322"/>
      <c r="T9" s="322"/>
      <c r="U9" s="322"/>
      <c r="V9" s="322"/>
      <c r="W9" s="322"/>
      <c r="X9" s="322"/>
      <c r="Y9" s="322"/>
      <c r="Z9" s="322"/>
      <c r="AA9" s="322"/>
      <c r="AB9" s="322"/>
      <c r="AC9" s="322"/>
      <c r="AD9" s="322"/>
    </row>
    <row r="10" spans="1:31" s="87" customFormat="1" ht="15" customHeight="1">
      <c r="A10" s="379"/>
      <c r="B10" s="445">
        <f>FORMULARIO!U6</f>
        <v>0</v>
      </c>
      <c r="C10" s="446"/>
      <c r="D10" s="418">
        <f>FORMULARIO!H13</f>
        <v>0</v>
      </c>
      <c r="E10" s="379"/>
      <c r="F10" s="418">
        <f>FORMULARIO!L13</f>
        <v>0</v>
      </c>
      <c r="G10" s="379"/>
      <c r="H10" s="444" t="str">
        <f>FORMULARIO!L11</f>
        <v/>
      </c>
      <c r="I10" s="379"/>
      <c r="J10" s="345" t="s">
        <v>124</v>
      </c>
      <c r="K10" s="322"/>
      <c r="L10" s="322"/>
      <c r="M10" s="322"/>
      <c r="N10" s="322"/>
      <c r="O10" s="322"/>
      <c r="P10" s="322"/>
      <c r="Q10" s="322"/>
      <c r="R10" s="322"/>
      <c r="S10" s="322"/>
      <c r="T10" s="322"/>
      <c r="U10" s="322"/>
      <c r="V10" s="322"/>
      <c r="W10" s="322"/>
      <c r="X10" s="322"/>
      <c r="Y10" s="322"/>
      <c r="Z10" s="322"/>
      <c r="AA10" s="322"/>
      <c r="AB10" s="322"/>
      <c r="AC10" s="322"/>
      <c r="AD10" s="322"/>
      <c r="AE10"/>
    </row>
    <row r="11" spans="1:31" ht="20.100000000000001" customHeight="1">
      <c r="A11" s="131"/>
      <c r="B11" s="131"/>
      <c r="C11" s="131"/>
      <c r="E11" s="131"/>
      <c r="F11" s="131"/>
      <c r="G11" s="131"/>
      <c r="H11" s="603" t="s">
        <v>203</v>
      </c>
      <c r="I11" s="603"/>
      <c r="J11" s="603"/>
      <c r="K11" s="322"/>
      <c r="L11" s="322"/>
      <c r="M11" s="322"/>
      <c r="N11" s="322"/>
      <c r="O11" s="322"/>
      <c r="P11" s="322"/>
      <c r="Q11" s="322"/>
      <c r="R11" s="322"/>
      <c r="S11" s="322"/>
      <c r="T11" s="322"/>
      <c r="U11" s="322"/>
      <c r="V11" s="322"/>
      <c r="W11" s="322"/>
      <c r="X11" s="322"/>
      <c r="Y11" s="322"/>
      <c r="Z11" s="322"/>
      <c r="AA11" s="322"/>
      <c r="AB11" s="322"/>
      <c r="AC11" s="322"/>
      <c r="AD11" s="322"/>
    </row>
    <row r="12" spans="1:31" ht="12.95" customHeight="1">
      <c r="A12" s="131"/>
      <c r="B12" s="585" t="s">
        <v>125</v>
      </c>
      <c r="C12" s="586"/>
      <c r="D12" s="586"/>
      <c r="E12" s="586"/>
      <c r="F12" s="586"/>
      <c r="G12" s="586"/>
      <c r="H12" s="586"/>
      <c r="I12" s="586"/>
      <c r="J12" s="587"/>
      <c r="K12" s="322"/>
      <c r="L12" s="322"/>
      <c r="M12" s="322"/>
      <c r="N12" s="322"/>
      <c r="O12" s="322"/>
      <c r="P12" s="322"/>
      <c r="Q12" s="322"/>
      <c r="R12" s="322"/>
      <c r="S12" s="322"/>
      <c r="T12" s="322"/>
      <c r="U12" s="322"/>
      <c r="V12" s="322"/>
      <c r="W12" s="322"/>
      <c r="X12" s="322"/>
      <c r="Y12" s="322"/>
      <c r="Z12" s="322"/>
      <c r="AA12" s="322"/>
      <c r="AB12" s="322"/>
      <c r="AC12" s="322"/>
      <c r="AD12" s="322"/>
    </row>
    <row r="13" spans="1:31" ht="12" customHeight="1">
      <c r="A13" s="131"/>
      <c r="B13" s="137" t="s">
        <v>126</v>
      </c>
      <c r="C13" s="417"/>
      <c r="D13" s="137" t="s">
        <v>204</v>
      </c>
      <c r="E13" s="417"/>
      <c r="F13" s="417"/>
      <c r="G13" s="417"/>
      <c r="H13" s="417"/>
      <c r="I13" s="417"/>
      <c r="J13" s="137" t="s">
        <v>142</v>
      </c>
      <c r="K13" s="322"/>
      <c r="L13" s="322"/>
      <c r="M13" s="322"/>
      <c r="N13" s="322"/>
      <c r="O13" s="322"/>
      <c r="P13" s="322"/>
      <c r="Q13" s="322"/>
      <c r="R13" s="322"/>
      <c r="S13" s="322"/>
      <c r="T13" s="322"/>
      <c r="U13" s="322"/>
      <c r="V13" s="322"/>
      <c r="W13" s="322"/>
      <c r="X13" s="322"/>
      <c r="Y13" s="322"/>
      <c r="Z13" s="322"/>
      <c r="AA13" s="322"/>
      <c r="AB13" s="322"/>
      <c r="AC13" s="322"/>
      <c r="AD13" s="322"/>
    </row>
    <row r="14" spans="1:31" ht="15" customHeight="1">
      <c r="A14" s="131"/>
      <c r="B14" s="418">
        <f>FORMULARIO!U18</f>
        <v>0</v>
      </c>
      <c r="C14" s="131"/>
      <c r="D14" s="600" t="str">
        <f>FORMULARIO!U20</f>
        <v/>
      </c>
      <c r="E14" s="601"/>
      <c r="F14" s="601"/>
      <c r="G14" s="601"/>
      <c r="H14" s="602"/>
      <c r="I14" s="131"/>
      <c r="J14" s="447">
        <f>FORMULARIO!U25</f>
        <v>0</v>
      </c>
      <c r="K14" s="322"/>
      <c r="L14" s="322"/>
      <c r="M14" s="322"/>
      <c r="N14" s="322"/>
      <c r="O14" s="322"/>
      <c r="P14" s="322"/>
      <c r="Q14" s="322"/>
      <c r="R14" s="322"/>
      <c r="S14" s="322"/>
      <c r="T14" s="322"/>
      <c r="U14" s="322"/>
      <c r="V14" s="322"/>
      <c r="W14" s="322"/>
      <c r="X14" s="322"/>
      <c r="Y14" s="322"/>
      <c r="Z14" s="322"/>
      <c r="AA14" s="322"/>
      <c r="AB14" s="322"/>
      <c r="AC14" s="322"/>
      <c r="AD14" s="322"/>
    </row>
    <row r="15" spans="1:31" s="87" customFormat="1" ht="12" customHeight="1">
      <c r="A15" s="379"/>
      <c r="B15" s="379"/>
      <c r="C15" s="379"/>
      <c r="D15" s="379"/>
      <c r="E15" s="379"/>
      <c r="F15" s="379"/>
      <c r="G15" s="379"/>
      <c r="H15" s="379"/>
      <c r="I15" s="379"/>
      <c r="J15" s="137" t="s">
        <v>356</v>
      </c>
      <c r="K15" s="322"/>
      <c r="L15" s="322"/>
      <c r="M15" s="322"/>
      <c r="N15" s="322"/>
      <c r="O15" s="322"/>
      <c r="P15" s="322"/>
      <c r="Q15" s="322"/>
      <c r="R15" s="322"/>
      <c r="S15" s="322"/>
      <c r="T15" s="322"/>
      <c r="U15" s="322"/>
      <c r="V15" s="322"/>
      <c r="W15" s="322"/>
      <c r="X15" s="322"/>
      <c r="Y15" s="322"/>
      <c r="Z15" s="322"/>
      <c r="AA15" s="322"/>
      <c r="AB15" s="322"/>
      <c r="AC15" s="322"/>
      <c r="AD15" s="322"/>
      <c r="AE15"/>
    </row>
    <row r="16" spans="1:31" ht="15" customHeight="1">
      <c r="A16" s="131"/>
      <c r="B16" s="131"/>
      <c r="C16" s="131"/>
      <c r="D16" s="131"/>
      <c r="E16" s="131"/>
      <c r="F16" s="131"/>
      <c r="G16" s="131"/>
      <c r="H16" s="131"/>
      <c r="I16" s="131"/>
      <c r="J16" s="447">
        <f>FORMULARIO!U27</f>
        <v>0</v>
      </c>
      <c r="K16" s="322"/>
      <c r="L16" s="322"/>
      <c r="M16" s="322"/>
      <c r="N16" s="322"/>
      <c r="O16" s="322"/>
      <c r="P16" s="322"/>
      <c r="Q16" s="322"/>
      <c r="R16" s="322"/>
      <c r="S16" s="322"/>
      <c r="T16" s="322"/>
      <c r="U16" s="322"/>
      <c r="V16" s="322"/>
      <c r="W16" s="322"/>
      <c r="X16" s="322"/>
      <c r="Y16" s="322"/>
      <c r="Z16" s="322"/>
      <c r="AA16" s="322"/>
      <c r="AB16" s="322"/>
      <c r="AC16" s="322"/>
      <c r="AD16" s="322"/>
    </row>
    <row r="17" spans="1:31" ht="12" customHeight="1">
      <c r="A17" s="131"/>
      <c r="B17" s="131"/>
      <c r="C17" s="131"/>
      <c r="D17" s="131"/>
      <c r="E17" s="131"/>
      <c r="F17" s="131"/>
      <c r="G17" s="131"/>
      <c r="H17" s="131"/>
      <c r="I17" s="131"/>
      <c r="J17" s="137" t="s">
        <v>149</v>
      </c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2"/>
      <c r="AD17" s="322"/>
    </row>
    <row r="18" spans="1:31" ht="15" customHeight="1">
      <c r="A18" s="131"/>
      <c r="B18" s="131"/>
      <c r="C18" s="131"/>
      <c r="D18" s="131"/>
      <c r="E18" s="131"/>
      <c r="F18" s="131"/>
      <c r="G18" s="131"/>
      <c r="H18" s="131"/>
      <c r="I18" s="131"/>
      <c r="J18" s="449">
        <f>FORMULARIO!J18</f>
        <v>0</v>
      </c>
      <c r="K18" s="322"/>
      <c r="L18" s="322"/>
      <c r="M18" s="322"/>
      <c r="N18" s="322"/>
      <c r="O18" s="322"/>
      <c r="P18" s="322"/>
      <c r="Q18" s="322"/>
      <c r="R18" s="322"/>
      <c r="S18" s="322"/>
      <c r="T18" s="322"/>
      <c r="U18" s="322"/>
      <c r="V18" s="322"/>
      <c r="W18" s="322"/>
      <c r="X18" s="322"/>
      <c r="Y18" s="322"/>
      <c r="Z18" s="322"/>
      <c r="AA18" s="322"/>
      <c r="AB18" s="322"/>
      <c r="AC18" s="322"/>
      <c r="AD18" s="322"/>
    </row>
    <row r="19" spans="1:31" ht="12" customHeight="1">
      <c r="A19" s="131"/>
      <c r="B19" s="131"/>
      <c r="C19" s="131"/>
      <c r="D19" s="137" t="s">
        <v>355</v>
      </c>
      <c r="E19" s="131"/>
      <c r="F19" s="131"/>
      <c r="G19" s="131"/>
      <c r="H19" s="131"/>
      <c r="I19" s="131"/>
      <c r="J19" s="137" t="s">
        <v>150</v>
      </c>
      <c r="K19" s="322"/>
      <c r="L19" s="322"/>
      <c r="M19" s="322"/>
      <c r="N19" s="322"/>
      <c r="O19" s="322"/>
      <c r="P19" s="322"/>
      <c r="Q19" s="322"/>
      <c r="R19" s="322"/>
      <c r="S19" s="322"/>
      <c r="T19" s="322"/>
      <c r="U19" s="322"/>
      <c r="V19" s="322"/>
      <c r="W19" s="322"/>
      <c r="X19" s="322"/>
      <c r="Y19" s="322"/>
      <c r="Z19" s="322"/>
      <c r="AA19" s="322"/>
      <c r="AB19" s="322"/>
      <c r="AC19" s="322"/>
      <c r="AD19" s="322"/>
    </row>
    <row r="20" spans="1:31" ht="15" customHeight="1">
      <c r="A20" s="131"/>
      <c r="B20" s="131"/>
      <c r="C20" s="131"/>
      <c r="D20" s="604" t="str">
        <f>IF(FORMULARIO!W30&lt;&gt;0,"Fijo Lateral Izquierdo de "&amp;FORMULARIO!W30&amp; " mts de ancho por "&amp;FORMULARIO!Y30&amp;" mts de alto "&amp;IF(FORMULARIO!U30&lt;&gt;"","con "&amp;FORMULARIO!U30&amp;" travesaños.",""),"")</f>
        <v/>
      </c>
      <c r="E20" s="605"/>
      <c r="F20" s="605"/>
      <c r="G20" s="605"/>
      <c r="H20" s="606"/>
      <c r="I20" s="131"/>
      <c r="J20" s="449">
        <f>FORMULARIO!C27</f>
        <v>0</v>
      </c>
      <c r="K20" s="322"/>
      <c r="L20" s="322"/>
      <c r="M20" s="322"/>
      <c r="N20" s="322"/>
      <c r="O20" s="322"/>
      <c r="P20" s="322"/>
      <c r="Q20" s="322"/>
      <c r="R20" s="322"/>
      <c r="S20" s="322"/>
      <c r="T20" s="322"/>
      <c r="U20" s="322"/>
      <c r="V20" s="322"/>
      <c r="W20" s="322"/>
      <c r="X20" s="322"/>
      <c r="Y20" s="322"/>
      <c r="Z20" s="322"/>
      <c r="AA20" s="322"/>
      <c r="AB20" s="322"/>
      <c r="AC20" s="322"/>
      <c r="AD20" s="322"/>
    </row>
    <row r="21" spans="1:31" ht="15" customHeight="1">
      <c r="A21" s="131"/>
      <c r="B21" s="131"/>
      <c r="C21" s="131"/>
      <c r="D21" s="604" t="str">
        <f>IF(FORMULARIO!W32&lt;&gt;0,"Fijo Lateral Derecho de "&amp;FORMULARIO!W32&amp; " mts de ancho por "&amp;FORMULARIO!Y32&amp;" mts de alto "&amp;IF(FORMULARIO!U32&lt;&gt;"","con "&amp;FORMULARIO!U32&amp;" travesaños.",""),"")</f>
        <v/>
      </c>
      <c r="E21" s="605"/>
      <c r="F21" s="605"/>
      <c r="G21" s="605"/>
      <c r="H21" s="606"/>
      <c r="I21" s="131"/>
      <c r="J21" s="131"/>
      <c r="K21" s="322"/>
      <c r="L21" s="322"/>
      <c r="M21" s="322"/>
      <c r="N21" s="322"/>
      <c r="O21" s="322"/>
      <c r="P21" s="322"/>
      <c r="Q21" s="322"/>
      <c r="R21" s="322"/>
      <c r="S21" s="322"/>
      <c r="T21" s="322"/>
      <c r="U21" s="322"/>
      <c r="V21" s="322"/>
      <c r="W21" s="322"/>
      <c r="X21" s="322"/>
      <c r="Y21" s="322"/>
      <c r="Z21" s="322"/>
      <c r="AA21" s="322"/>
      <c r="AB21" s="322"/>
      <c r="AC21" s="322"/>
      <c r="AD21" s="322"/>
    </row>
    <row r="22" spans="1:31" ht="15" customHeight="1">
      <c r="A22" s="131"/>
      <c r="B22" s="131"/>
      <c r="C22" s="131"/>
      <c r="D22" s="604" t="str">
        <f>IF(FORMULARIO!W34&lt;&gt;0,"Fijo Inferior de "&amp;FORMULARIO!W34&amp; " mts de ancho por "&amp;FORMULARIO!Y34&amp;" mts de alto "&amp;IF(FORMULARIO!U34&lt;&gt;"","con "&amp;FORMULARIO!U34&amp;" travesaños.",""),"")</f>
        <v/>
      </c>
      <c r="E22" s="605"/>
      <c r="F22" s="605"/>
      <c r="G22" s="605"/>
      <c r="H22" s="606"/>
      <c r="I22" s="131"/>
      <c r="J22" s="131"/>
      <c r="K22" s="322"/>
      <c r="L22" s="322"/>
      <c r="M22" s="322"/>
      <c r="N22" s="322"/>
      <c r="O22" s="322"/>
      <c r="P22" s="322"/>
      <c r="Q22" s="322"/>
      <c r="R22" s="322"/>
      <c r="S22" s="322"/>
      <c r="T22" s="322"/>
      <c r="U22" s="322"/>
      <c r="V22" s="322"/>
      <c r="W22" s="322"/>
      <c r="X22" s="322"/>
      <c r="Y22" s="322"/>
      <c r="Z22" s="322"/>
      <c r="AA22" s="322"/>
      <c r="AB22" s="322"/>
      <c r="AC22" s="322"/>
      <c r="AD22" s="322"/>
    </row>
    <row r="23" spans="1:31" ht="15" customHeight="1">
      <c r="A23" s="131"/>
      <c r="B23" s="131"/>
      <c r="C23" s="131"/>
      <c r="D23" s="604" t="str">
        <f>IF(FORMULARIO!W36&lt;&gt;0,"Fijo Superior de "&amp;FORMULARIO!W36&amp; " mts de ancho por "&amp;FORMULARIO!Y36&amp;" mts de alto "&amp;IF(FORMULARIO!U36&lt;&gt;"","con "&amp;FORMULARIO!U36&amp;" travesaños.",""),"")</f>
        <v/>
      </c>
      <c r="E23" s="605"/>
      <c r="F23" s="605"/>
      <c r="G23" s="605"/>
      <c r="H23" s="606"/>
      <c r="I23" s="131"/>
      <c r="J23" s="131"/>
      <c r="K23" s="322"/>
      <c r="L23" s="322"/>
      <c r="M23" s="322"/>
      <c r="N23" s="322"/>
      <c r="O23" s="322"/>
      <c r="P23" s="322"/>
      <c r="Q23" s="322"/>
      <c r="R23" s="322"/>
      <c r="S23" s="322"/>
      <c r="T23" s="322"/>
      <c r="U23" s="322"/>
      <c r="V23" s="322"/>
      <c r="W23" s="322"/>
      <c r="X23" s="322"/>
      <c r="Y23" s="322"/>
      <c r="Z23" s="322"/>
      <c r="AA23" s="322"/>
      <c r="AB23" s="322"/>
      <c r="AC23" s="322"/>
      <c r="AD23" s="322"/>
    </row>
    <row r="24" spans="1:31" ht="15" customHeight="1">
      <c r="A24" s="131"/>
      <c r="B24" s="131"/>
      <c r="C24" s="131"/>
      <c r="D24" s="131"/>
      <c r="E24" s="131"/>
      <c r="F24" s="137" t="s">
        <v>434</v>
      </c>
      <c r="G24" s="417"/>
      <c r="H24" s="137" t="s">
        <v>309</v>
      </c>
      <c r="I24" s="417"/>
      <c r="J24" s="448" t="s">
        <v>222</v>
      </c>
      <c r="K24" s="322"/>
      <c r="L24" s="322"/>
      <c r="M24" s="322"/>
      <c r="N24" s="322"/>
      <c r="O24" s="322"/>
      <c r="P24" s="322"/>
      <c r="Q24" s="322"/>
      <c r="R24" s="322"/>
      <c r="S24" s="322"/>
      <c r="T24" s="322"/>
      <c r="U24" s="322"/>
      <c r="V24" s="322"/>
      <c r="W24" s="322"/>
      <c r="X24" s="322"/>
      <c r="Y24" s="322"/>
      <c r="Z24" s="322"/>
      <c r="AA24" s="322"/>
      <c r="AB24" s="322"/>
      <c r="AC24" s="322"/>
      <c r="AD24" s="322"/>
    </row>
    <row r="25" spans="1:31" s="87" customFormat="1" ht="15" customHeight="1">
      <c r="A25" s="379"/>
      <c r="B25" s="476">
        <f>'SERIES SIN'!T5</f>
        <v>0</v>
      </c>
      <c r="C25" s="379"/>
      <c r="D25" s="133"/>
      <c r="E25" s="131"/>
      <c r="F25" s="449" t="e">
        <f>IF(B14="","",'SERIES SIN'!S26)</f>
        <v>#N/A</v>
      </c>
      <c r="G25" s="390"/>
      <c r="H25" s="450" t="e">
        <f>IF(B14="","",F25/F47)</f>
        <v>#N/A</v>
      </c>
      <c r="I25" s="390"/>
      <c r="J25" s="477" t="e">
        <f>IF(B14="","",'SERIES SIN'!S27)</f>
        <v>#N/A</v>
      </c>
      <c r="K25" s="322"/>
      <c r="L25" s="322"/>
      <c r="M25" s="322"/>
      <c r="N25" s="322"/>
      <c r="O25" s="322"/>
      <c r="P25" s="322"/>
      <c r="Q25" s="322"/>
      <c r="R25" s="322"/>
      <c r="S25" s="322"/>
      <c r="T25" s="322"/>
      <c r="U25" s="322"/>
      <c r="V25" s="322"/>
      <c r="W25" s="322"/>
      <c r="X25" s="322"/>
      <c r="Y25" s="322"/>
      <c r="Z25" s="322"/>
      <c r="AA25" s="322"/>
      <c r="AB25" s="322"/>
      <c r="AC25" s="322"/>
      <c r="AD25" s="322"/>
      <c r="AE25"/>
    </row>
    <row r="26" spans="1:31" s="80" customFormat="1" ht="19.5" customHeight="1">
      <c r="A26" s="390"/>
      <c r="B26" s="390"/>
      <c r="C26" s="390"/>
      <c r="D26" s="390"/>
      <c r="E26" s="390"/>
      <c r="F26" s="390"/>
      <c r="G26" s="390"/>
      <c r="H26" s="390"/>
      <c r="I26" s="390"/>
      <c r="J26" s="390"/>
      <c r="K26" s="322"/>
      <c r="L26" s="322"/>
      <c r="M26" s="322"/>
      <c r="N26" s="322"/>
      <c r="O26" s="322"/>
      <c r="P26" s="322"/>
      <c r="Q26" s="322"/>
      <c r="R26" s="322"/>
      <c r="S26" s="322"/>
      <c r="T26" s="322"/>
      <c r="U26" s="322"/>
      <c r="V26" s="322"/>
      <c r="W26" s="322"/>
      <c r="X26" s="322"/>
      <c r="Y26" s="322"/>
      <c r="Z26" s="322"/>
      <c r="AA26" s="322"/>
      <c r="AB26" s="322"/>
      <c r="AC26" s="322"/>
      <c r="AD26" s="322"/>
      <c r="AE26"/>
    </row>
    <row r="27" spans="1:31" ht="12.75" customHeight="1">
      <c r="A27" s="131"/>
      <c r="B27" s="585" t="s">
        <v>166</v>
      </c>
      <c r="C27" s="586"/>
      <c r="D27" s="586"/>
      <c r="E27" s="586"/>
      <c r="F27" s="586"/>
      <c r="G27" s="586"/>
      <c r="H27" s="586"/>
      <c r="I27" s="586"/>
      <c r="J27" s="587"/>
      <c r="K27" s="322"/>
      <c r="L27" s="322"/>
      <c r="M27" s="322"/>
      <c r="N27" s="322"/>
      <c r="O27" s="322"/>
      <c r="P27" s="322"/>
      <c r="Q27" s="322"/>
      <c r="R27" s="322"/>
      <c r="S27" s="322"/>
      <c r="T27" s="322"/>
      <c r="U27" s="322"/>
      <c r="V27" s="322"/>
      <c r="W27" s="322"/>
      <c r="X27" s="322"/>
      <c r="Y27" s="322"/>
      <c r="Z27" s="322"/>
      <c r="AA27" s="322"/>
      <c r="AB27" s="322"/>
      <c r="AC27" s="322"/>
      <c r="AD27" s="322"/>
    </row>
    <row r="28" spans="1:31" ht="12" customHeight="1">
      <c r="A28" s="131"/>
      <c r="B28" s="131"/>
      <c r="C28" s="443"/>
      <c r="D28" s="137" t="s">
        <v>170</v>
      </c>
      <c r="E28" s="417"/>
      <c r="F28" s="131"/>
      <c r="G28" s="417"/>
      <c r="H28" s="137"/>
      <c r="I28" s="417"/>
      <c r="J28" s="137" t="s">
        <v>435</v>
      </c>
      <c r="K28" s="322"/>
      <c r="L28" s="322"/>
      <c r="M28" s="322"/>
      <c r="N28" s="322"/>
      <c r="O28" s="322"/>
      <c r="P28" s="322"/>
      <c r="Q28" s="322"/>
      <c r="R28" s="322"/>
      <c r="S28" s="322"/>
      <c r="T28" s="322"/>
      <c r="U28" s="322"/>
      <c r="V28" s="322"/>
      <c r="W28" s="322"/>
      <c r="X28" s="322"/>
      <c r="Y28" s="322"/>
      <c r="Z28" s="322"/>
      <c r="AA28" s="322"/>
      <c r="AB28" s="322"/>
      <c r="AC28" s="322"/>
      <c r="AD28" s="322"/>
    </row>
    <row r="29" spans="1:31">
      <c r="A29" s="131"/>
      <c r="B29" s="131"/>
      <c r="C29" s="131"/>
      <c r="D29" s="600" t="e">
        <f>VIDRIO2!CL32</f>
        <v>#N/A</v>
      </c>
      <c r="E29" s="601"/>
      <c r="F29" s="601"/>
      <c r="G29" s="601"/>
      <c r="H29" s="602"/>
      <c r="I29" s="131"/>
      <c r="J29" s="452" t="e">
        <f>VIDRIO2!CI17</f>
        <v>#N/A</v>
      </c>
      <c r="K29" s="322"/>
      <c r="L29" s="322"/>
      <c r="M29" s="322"/>
      <c r="N29" s="322"/>
      <c r="O29" s="322"/>
      <c r="P29" s="322"/>
      <c r="Q29" s="322"/>
      <c r="R29" s="322"/>
      <c r="S29" s="322"/>
      <c r="T29" s="322"/>
      <c r="U29" s="322"/>
      <c r="V29" s="322"/>
      <c r="W29" s="322"/>
      <c r="X29" s="322"/>
      <c r="Y29" s="322"/>
      <c r="Z29" s="322"/>
      <c r="AA29" s="322"/>
      <c r="AB29" s="322"/>
      <c r="AC29" s="322"/>
      <c r="AD29" s="322"/>
    </row>
    <row r="30" spans="1:31" ht="12" customHeight="1">
      <c r="A30" s="131"/>
      <c r="B30" s="131"/>
      <c r="C30" s="131"/>
      <c r="D30" s="131"/>
      <c r="E30" s="131"/>
      <c r="F30" s="137" t="s">
        <v>436</v>
      </c>
      <c r="G30" s="131"/>
      <c r="H30" s="131"/>
      <c r="I30" s="131"/>
      <c r="J30" s="448" t="s">
        <v>223</v>
      </c>
      <c r="K30" s="322"/>
      <c r="L30" s="322"/>
      <c r="M30" s="322"/>
      <c r="N30" s="322"/>
      <c r="O30" s="322"/>
      <c r="P30" s="322"/>
      <c r="Q30" s="322"/>
      <c r="R30" s="322"/>
      <c r="S30" s="322"/>
      <c r="T30" s="322"/>
      <c r="U30" s="322"/>
      <c r="V30" s="322"/>
      <c r="W30" s="322"/>
      <c r="X30" s="322"/>
      <c r="Y30" s="322"/>
      <c r="Z30" s="322"/>
      <c r="AA30" s="322"/>
      <c r="AB30" s="322"/>
      <c r="AC30" s="322"/>
      <c r="AD30" s="322"/>
    </row>
    <row r="31" spans="1:31" s="87" customFormat="1" ht="15" customHeight="1">
      <c r="A31" s="379"/>
      <c r="B31" s="379"/>
      <c r="C31" s="379"/>
      <c r="D31" s="379"/>
      <c r="E31" s="379"/>
      <c r="F31" s="449" t="e">
        <f>IF(B14="","",'SERIES SIN'!AG26)</f>
        <v>#N/A</v>
      </c>
      <c r="G31" s="379"/>
      <c r="H31" s="379"/>
      <c r="I31" s="379"/>
      <c r="J31" s="477" t="e">
        <f>IF(B14="","",J29*F31)</f>
        <v>#N/A</v>
      </c>
      <c r="K31" s="322"/>
      <c r="L31" s="322"/>
      <c r="M31" s="322"/>
      <c r="N31" s="322"/>
      <c r="O31" s="322"/>
      <c r="P31" s="322"/>
      <c r="Q31" s="322"/>
      <c r="R31" s="322"/>
      <c r="S31" s="322"/>
      <c r="T31" s="322"/>
      <c r="U31" s="322"/>
      <c r="V31" s="322"/>
      <c r="W31" s="322"/>
      <c r="X31" s="322"/>
      <c r="Y31" s="322"/>
      <c r="Z31" s="322"/>
      <c r="AA31" s="322"/>
      <c r="AB31" s="322"/>
      <c r="AC31" s="322"/>
      <c r="AD31" s="322"/>
      <c r="AE31"/>
    </row>
    <row r="32" spans="1:31" s="87" customFormat="1" ht="12" customHeight="1">
      <c r="A32" s="379"/>
      <c r="B32" s="379"/>
      <c r="C32" s="379"/>
      <c r="D32" s="137" t="s">
        <v>191</v>
      </c>
      <c r="E32" s="379"/>
      <c r="F32" s="137" t="s">
        <v>213</v>
      </c>
      <c r="G32" s="379"/>
      <c r="H32" s="137" t="s">
        <v>197</v>
      </c>
      <c r="I32" s="379"/>
      <c r="J32" s="448" t="s">
        <v>437</v>
      </c>
      <c r="K32" s="322"/>
      <c r="L32" s="322"/>
      <c r="M32" s="322"/>
      <c r="N32" s="322"/>
      <c r="O32" s="322"/>
      <c r="P32" s="322"/>
      <c r="Q32" s="322"/>
      <c r="R32" s="322"/>
      <c r="S32" s="322"/>
      <c r="T32" s="322"/>
      <c r="U32" s="322"/>
      <c r="V32" s="322"/>
      <c r="W32" s="322"/>
      <c r="X32" s="322"/>
      <c r="Y32" s="322"/>
      <c r="Z32" s="322"/>
      <c r="AA32" s="322"/>
      <c r="AB32" s="322"/>
      <c r="AC32" s="322"/>
      <c r="AD32" s="322"/>
      <c r="AE32"/>
    </row>
    <row r="33" spans="1:31" ht="15" customHeight="1">
      <c r="A33" s="131"/>
      <c r="B33" s="131"/>
      <c r="C33" s="131"/>
      <c r="D33" s="418" t="str">
        <f>FORMULARIO!U48</f>
        <v>Anular Intercalario</v>
      </c>
      <c r="E33" s="451"/>
      <c r="F33" s="452">
        <f>VIDRIO2!CL17</f>
        <v>0</v>
      </c>
      <c r="G33" s="131"/>
      <c r="H33" s="452" t="str">
        <f>IF(FORMULARIO!D44="Monolitico",0,IF(FORMULARIO!D44="Monolitico"="","",'SERIES SIN'!AG30))</f>
        <v/>
      </c>
      <c r="I33" s="131"/>
      <c r="J33" s="477" t="e">
        <f>IF(B14="","",F33*H33)</f>
        <v>#VALUE!</v>
      </c>
      <c r="K33" s="322"/>
      <c r="L33" s="322"/>
      <c r="M33" s="322"/>
      <c r="N33" s="322"/>
      <c r="O33" s="322"/>
      <c r="P33" s="322"/>
      <c r="Q33" s="322"/>
      <c r="U33" s="322"/>
      <c r="V33" s="322"/>
      <c r="W33" s="322"/>
      <c r="X33" s="322"/>
      <c r="Y33" s="322"/>
      <c r="Z33" s="322"/>
      <c r="AA33" s="322"/>
      <c r="AB33" s="322"/>
      <c r="AC33" s="322"/>
      <c r="AD33" s="322"/>
    </row>
    <row r="34" spans="1:31" ht="12" customHeight="1">
      <c r="A34" s="131"/>
      <c r="B34" s="131"/>
      <c r="C34" s="131"/>
      <c r="D34" s="584" t="str">
        <f>VIDRIO2!CM17</f>
        <v>(Según Norma UNE EN 10077-2: 2008)</v>
      </c>
      <c r="E34" s="584"/>
      <c r="F34" s="584"/>
      <c r="G34" s="584"/>
      <c r="H34" s="584"/>
      <c r="I34" s="584"/>
      <c r="J34" s="584"/>
      <c r="K34" s="322"/>
      <c r="L34" s="322"/>
      <c r="M34" s="322"/>
      <c r="N34" s="322"/>
      <c r="O34" s="322"/>
      <c r="P34" s="322"/>
      <c r="Q34" s="322"/>
      <c r="U34" s="322"/>
      <c r="V34" s="322"/>
      <c r="W34" s="322"/>
      <c r="X34" s="322"/>
      <c r="Y34" s="322"/>
      <c r="Z34" s="322"/>
      <c r="AA34" s="322"/>
      <c r="AB34" s="322"/>
      <c r="AC34" s="322"/>
      <c r="AD34" s="322"/>
    </row>
    <row r="35" spans="1:31" ht="20.100000000000001" customHeight="1">
      <c r="A35" s="131"/>
      <c r="B35" s="131"/>
      <c r="C35" s="131"/>
      <c r="D35" s="131"/>
      <c r="E35" s="131"/>
      <c r="F35" s="131"/>
      <c r="G35" s="131"/>
      <c r="H35" s="131"/>
      <c r="I35" s="131"/>
      <c r="J35" s="131"/>
      <c r="K35" s="322"/>
      <c r="L35" s="322"/>
      <c r="M35" s="322"/>
      <c r="N35" s="322"/>
      <c r="O35" s="322"/>
      <c r="P35" s="322"/>
      <c r="Q35" s="322"/>
      <c r="U35" s="322"/>
      <c r="V35" s="322"/>
      <c r="W35" s="322"/>
      <c r="X35" s="322"/>
      <c r="Y35" s="322"/>
      <c r="Z35" s="322"/>
      <c r="AA35" s="322"/>
      <c r="AB35" s="322"/>
      <c r="AC35" s="322"/>
      <c r="AD35" s="322"/>
    </row>
    <row r="36" spans="1:31" s="87" customFormat="1" ht="12.95" customHeight="1">
      <c r="A36" s="379"/>
      <c r="B36" s="585" t="s">
        <v>189</v>
      </c>
      <c r="C36" s="586"/>
      <c r="D36" s="586"/>
      <c r="E36" s="586"/>
      <c r="F36" s="586"/>
      <c r="G36" s="586"/>
      <c r="H36" s="586"/>
      <c r="I36" s="586"/>
      <c r="J36" s="587"/>
      <c r="K36" s="322"/>
      <c r="L36" s="322"/>
      <c r="M36" s="322"/>
      <c r="N36" s="322"/>
      <c r="O36" s="322"/>
      <c r="P36" s="322"/>
      <c r="Q36" s="322"/>
      <c r="U36" s="322"/>
      <c r="V36" s="322"/>
      <c r="W36" s="322"/>
      <c r="X36" s="322"/>
      <c r="Y36" s="322"/>
      <c r="Z36" s="322"/>
      <c r="AA36" s="322"/>
      <c r="AB36" s="322"/>
      <c r="AC36" s="322"/>
      <c r="AD36" s="322"/>
      <c r="AE36"/>
    </row>
    <row r="37" spans="1:31" ht="9.9499999999999993" customHeight="1">
      <c r="A37" s="131"/>
      <c r="B37" s="131"/>
      <c r="C37" s="131"/>
      <c r="D37" s="131"/>
      <c r="E37" s="131"/>
      <c r="F37" s="131"/>
      <c r="G37" s="131"/>
      <c r="H37" s="131"/>
      <c r="I37" s="131"/>
      <c r="J37" s="131"/>
      <c r="K37" s="322"/>
      <c r="L37" s="322"/>
      <c r="M37" s="322"/>
      <c r="N37" s="322"/>
      <c r="O37" s="322"/>
      <c r="P37" s="322"/>
      <c r="Q37" s="322"/>
      <c r="R37" s="322"/>
      <c r="S37" s="322"/>
      <c r="T37" s="322"/>
      <c r="U37" s="322"/>
      <c r="V37" s="322"/>
      <c r="W37" s="322"/>
      <c r="X37" s="322"/>
      <c r="Y37" s="322"/>
      <c r="Z37" s="322"/>
      <c r="AA37" s="322"/>
      <c r="AB37" s="322"/>
      <c r="AC37" s="322"/>
      <c r="AD37" s="322"/>
    </row>
    <row r="38" spans="1:31" ht="9.9499999999999993" customHeight="1">
      <c r="A38" s="131"/>
      <c r="B38" s="588" t="str">
        <f>IF(D33="Anular Intercalario",'TABLAS U'!A66,'TABLAS U'!A66)</f>
        <v>Los cálculos se han realizado según la metodología recogida en la norma UNE EN 10077-1: 2010     Comportamiento térmico de ventanas, puertas y persianas. Calculo de la transmitancia térmica.           Parte 2: Método numérico para los marcos.</v>
      </c>
      <c r="C38" s="589"/>
      <c r="D38" s="589"/>
      <c r="E38" s="589"/>
      <c r="F38" s="589"/>
      <c r="G38" s="433"/>
      <c r="H38" s="433"/>
      <c r="I38" s="433"/>
      <c r="J38" s="478"/>
      <c r="K38" s="322"/>
      <c r="L38" s="322"/>
      <c r="M38" s="322"/>
      <c r="N38" s="322"/>
      <c r="O38" s="322"/>
      <c r="P38" s="322"/>
      <c r="Q38" s="322"/>
      <c r="R38" s="322"/>
      <c r="S38" s="322"/>
      <c r="T38" s="322"/>
      <c r="U38" s="322"/>
      <c r="V38" s="322"/>
      <c r="W38" s="322"/>
      <c r="X38" s="322"/>
      <c r="Y38" s="322"/>
      <c r="Z38" s="322"/>
      <c r="AA38" s="322"/>
      <c r="AB38" s="322"/>
      <c r="AC38" s="322"/>
      <c r="AD38" s="322"/>
    </row>
    <row r="39" spans="1:31" ht="9.9499999999999993" customHeight="1">
      <c r="A39" s="131"/>
      <c r="B39" s="590"/>
      <c r="C39" s="591"/>
      <c r="D39" s="591"/>
      <c r="E39" s="591"/>
      <c r="F39" s="591"/>
      <c r="G39" s="132"/>
      <c r="H39" s="132"/>
      <c r="I39" s="132"/>
      <c r="J39" s="479"/>
      <c r="K39" s="322"/>
      <c r="L39" s="322"/>
      <c r="M39" s="322"/>
      <c r="N39" s="322"/>
      <c r="O39" s="322"/>
      <c r="P39" s="322"/>
      <c r="Q39" s="322"/>
      <c r="R39" s="322"/>
      <c r="S39" s="322"/>
      <c r="T39" s="322"/>
      <c r="U39" s="322"/>
      <c r="V39" s="322"/>
      <c r="W39" s="322"/>
      <c r="X39" s="322"/>
      <c r="Y39" s="322"/>
      <c r="Z39" s="322"/>
      <c r="AA39" s="322"/>
      <c r="AB39" s="322"/>
      <c r="AC39" s="322"/>
      <c r="AD39" s="322"/>
    </row>
    <row r="40" spans="1:31" ht="12.2" customHeight="1">
      <c r="A40" s="131"/>
      <c r="B40" s="590"/>
      <c r="C40" s="591"/>
      <c r="D40" s="591"/>
      <c r="E40" s="591"/>
      <c r="F40" s="591"/>
      <c r="G40" s="132"/>
      <c r="H40" s="132"/>
      <c r="I40" s="132"/>
      <c r="J40" s="479"/>
      <c r="K40" s="322"/>
      <c r="L40" s="322"/>
      <c r="M40" s="322"/>
      <c r="N40" s="322"/>
      <c r="O40" s="322"/>
      <c r="P40" s="322"/>
      <c r="Q40" s="322"/>
      <c r="R40" s="322"/>
      <c r="S40" s="322"/>
      <c r="T40" s="322"/>
      <c r="U40" s="322"/>
      <c r="V40" s="322"/>
      <c r="W40" s="322"/>
      <c r="X40" s="322"/>
      <c r="Y40" s="322"/>
      <c r="Z40" s="322"/>
      <c r="AA40" s="322"/>
      <c r="AB40" s="322"/>
      <c r="AC40" s="322"/>
      <c r="AD40" s="322"/>
    </row>
    <row r="41" spans="1:31" ht="12.2" customHeight="1">
      <c r="A41" s="131"/>
      <c r="B41" s="592"/>
      <c r="C41" s="593"/>
      <c r="D41" s="593"/>
      <c r="E41" s="593"/>
      <c r="F41" s="593"/>
      <c r="G41" s="436"/>
      <c r="H41" s="436"/>
      <c r="I41" s="436"/>
      <c r="J41" s="480"/>
      <c r="K41" s="322"/>
      <c r="L41" s="322"/>
      <c r="M41" s="322"/>
      <c r="N41" s="322"/>
      <c r="O41" s="322"/>
      <c r="P41" s="322"/>
      <c r="Q41" s="322"/>
      <c r="R41" s="322"/>
      <c r="S41" s="322"/>
      <c r="T41" s="322"/>
      <c r="U41" s="322"/>
      <c r="V41" s="322"/>
      <c r="W41" s="322"/>
      <c r="X41" s="322"/>
      <c r="Y41" s="322"/>
      <c r="Z41" s="322"/>
      <c r="AA41" s="322"/>
      <c r="AB41" s="322"/>
      <c r="AC41" s="322"/>
      <c r="AD41" s="322"/>
    </row>
    <row r="42" spans="1:31" ht="12.2" customHeight="1">
      <c r="A42" s="131"/>
      <c r="B42" s="131"/>
      <c r="C42" s="131"/>
      <c r="D42" s="448" t="s">
        <v>198</v>
      </c>
      <c r="E42" s="417"/>
      <c r="F42" s="448" t="s">
        <v>199</v>
      </c>
      <c r="G42" s="417"/>
      <c r="H42" s="448" t="s">
        <v>200</v>
      </c>
      <c r="I42" s="417"/>
      <c r="J42" s="417"/>
      <c r="K42" s="322"/>
      <c r="L42" s="322"/>
      <c r="M42" s="322"/>
      <c r="N42" s="322"/>
      <c r="O42" s="322"/>
      <c r="P42" s="322"/>
      <c r="Q42" s="322"/>
      <c r="R42" s="322"/>
      <c r="S42" s="322"/>
      <c r="T42" s="322"/>
      <c r="U42" s="322"/>
      <c r="V42" s="322"/>
      <c r="W42" s="322"/>
      <c r="X42" s="322"/>
      <c r="Y42" s="322"/>
      <c r="Z42" s="322"/>
      <c r="AA42" s="322"/>
      <c r="AB42" s="322"/>
      <c r="AC42" s="322"/>
      <c r="AD42" s="322"/>
    </row>
    <row r="43" spans="1:31" ht="12.2" customHeight="1">
      <c r="A43" s="131"/>
      <c r="B43" s="131"/>
      <c r="C43" s="131"/>
      <c r="D43" s="448" t="s">
        <v>438</v>
      </c>
      <c r="E43" s="417"/>
      <c r="F43" s="448" t="s">
        <v>439</v>
      </c>
      <c r="G43" s="417"/>
      <c r="H43" s="448" t="s">
        <v>440</v>
      </c>
      <c r="I43" s="417"/>
      <c r="J43" s="137" t="s">
        <v>441</v>
      </c>
      <c r="K43" s="322"/>
      <c r="L43" s="322"/>
      <c r="M43" s="322"/>
      <c r="N43" s="322"/>
      <c r="O43" s="322"/>
      <c r="P43" s="322"/>
      <c r="Q43" s="322"/>
      <c r="R43" s="322"/>
      <c r="S43" s="322"/>
      <c r="T43" s="322"/>
      <c r="U43" s="322"/>
      <c r="V43" s="322"/>
      <c r="W43" s="322"/>
      <c r="X43" s="322"/>
      <c r="Y43" s="322"/>
      <c r="Z43" s="322"/>
      <c r="AA43" s="322"/>
      <c r="AB43" s="322"/>
      <c r="AC43" s="322"/>
      <c r="AD43" s="322"/>
    </row>
    <row r="44" spans="1:31" ht="15" customHeight="1">
      <c r="A44" s="131"/>
      <c r="B44" s="131"/>
      <c r="C44" s="131"/>
      <c r="D44" s="453" t="e">
        <f>J25</f>
        <v>#N/A</v>
      </c>
      <c r="E44" s="131"/>
      <c r="F44" s="453" t="e">
        <f>J31</f>
        <v>#N/A</v>
      </c>
      <c r="G44" s="131"/>
      <c r="H44" s="453" t="e">
        <f>J33</f>
        <v>#VALUE!</v>
      </c>
      <c r="I44" s="131"/>
      <c r="J44" s="594" t="e">
        <f>IF(F47="","",(D44+F44+H44)/F47)</f>
        <v>#N/A</v>
      </c>
      <c r="K44" s="322"/>
      <c r="L44" s="322"/>
      <c r="M44" s="322"/>
      <c r="N44" s="322"/>
      <c r="O44" s="322"/>
      <c r="P44" s="322"/>
      <c r="Q44" s="322"/>
      <c r="R44" s="322"/>
      <c r="S44" s="322"/>
      <c r="T44" s="322"/>
      <c r="U44" s="322"/>
      <c r="V44" s="322"/>
      <c r="W44" s="322"/>
      <c r="X44" s="322"/>
      <c r="Y44" s="322"/>
      <c r="Z44" s="322"/>
      <c r="AA44" s="322"/>
      <c r="AB44" s="322"/>
      <c r="AC44" s="322"/>
      <c r="AD44" s="322"/>
    </row>
    <row r="45" spans="1:31" ht="9.9499999999999993" customHeight="1">
      <c r="A45" s="131"/>
      <c r="B45" s="131"/>
      <c r="C45" s="131"/>
      <c r="D45" s="132"/>
      <c r="E45" s="132"/>
      <c r="F45" s="132"/>
      <c r="G45" s="132"/>
      <c r="H45" s="132"/>
      <c r="I45" s="131"/>
      <c r="J45" s="595"/>
      <c r="K45" s="322"/>
      <c r="L45" s="322"/>
      <c r="M45" s="322"/>
      <c r="N45" s="322"/>
      <c r="O45" s="322"/>
      <c r="P45" s="322"/>
      <c r="Q45" s="322"/>
      <c r="R45" s="322"/>
      <c r="S45" s="322"/>
      <c r="T45" s="322"/>
      <c r="U45" s="322"/>
      <c r="V45" s="322"/>
      <c r="W45" s="322"/>
      <c r="X45" s="322"/>
      <c r="Y45" s="322"/>
      <c r="Z45" s="322"/>
      <c r="AA45" s="322"/>
      <c r="AB45" s="322"/>
      <c r="AC45" s="322"/>
      <c r="AD45" s="322"/>
    </row>
    <row r="46" spans="1:31" s="87" customFormat="1" ht="12" customHeight="1">
      <c r="A46" s="379"/>
      <c r="B46" s="379"/>
      <c r="C46" s="379"/>
      <c r="D46" s="379"/>
      <c r="E46" s="379"/>
      <c r="F46" s="448" t="s">
        <v>354</v>
      </c>
      <c r="G46" s="379"/>
      <c r="H46" s="379"/>
      <c r="I46" s="379"/>
      <c r="J46" s="596"/>
      <c r="K46" s="322"/>
      <c r="L46" s="322"/>
      <c r="M46" s="322"/>
      <c r="N46" s="322"/>
      <c r="O46" s="322"/>
      <c r="P46" s="322"/>
      <c r="Q46" s="322"/>
      <c r="R46" s="322"/>
      <c r="S46" s="322"/>
      <c r="T46" s="322"/>
      <c r="U46" s="322"/>
      <c r="V46" s="322"/>
      <c r="W46" s="322"/>
      <c r="X46" s="322"/>
      <c r="Y46" s="322"/>
      <c r="Z46" s="322"/>
      <c r="AA46" s="322"/>
      <c r="AB46" s="322"/>
      <c r="AC46" s="322"/>
      <c r="AD46" s="322"/>
      <c r="AE46"/>
    </row>
    <row r="47" spans="1:31" ht="15" customHeight="1">
      <c r="A47" s="131"/>
      <c r="B47" s="131"/>
      <c r="C47" s="131"/>
      <c r="D47" s="131"/>
      <c r="E47" s="131"/>
      <c r="F47" s="453" t="e">
        <f>IF(D44="","",J18*J20)</f>
        <v>#N/A</v>
      </c>
      <c r="G47" s="131"/>
      <c r="H47" s="131"/>
      <c r="I47" s="131"/>
      <c r="J47" s="454" t="s">
        <v>124</v>
      </c>
      <c r="K47" s="322"/>
      <c r="L47" s="322"/>
      <c r="M47" s="322"/>
      <c r="N47" s="322"/>
      <c r="O47" s="322"/>
      <c r="P47" s="322"/>
      <c r="Q47" s="322"/>
      <c r="R47" s="322"/>
      <c r="S47" s="322"/>
      <c r="T47" s="322"/>
      <c r="U47" s="322"/>
      <c r="V47" s="322"/>
      <c r="W47" s="322"/>
      <c r="X47" s="322"/>
      <c r="Y47" s="322"/>
      <c r="Z47" s="322"/>
      <c r="AA47" s="322"/>
      <c r="AB47" s="322"/>
      <c r="AC47" s="322"/>
      <c r="AD47" s="322"/>
    </row>
    <row r="48" spans="1:31" ht="15" customHeight="1">
      <c r="A48" s="131"/>
      <c r="B48" s="455"/>
      <c r="C48" s="455"/>
      <c r="D48" s="455"/>
      <c r="E48" s="455"/>
      <c r="F48" s="455"/>
      <c r="G48" s="132"/>
      <c r="H48" s="132"/>
      <c r="I48" s="132"/>
      <c r="J48" s="132"/>
      <c r="K48" s="322"/>
      <c r="L48" s="322"/>
      <c r="M48" s="322"/>
      <c r="N48" s="322"/>
      <c r="O48" s="322"/>
      <c r="P48" s="322"/>
      <c r="Q48" s="322"/>
      <c r="R48" s="322"/>
      <c r="S48" s="322"/>
      <c r="T48" s="322"/>
      <c r="U48" s="322"/>
      <c r="V48" s="322"/>
      <c r="W48" s="322"/>
      <c r="X48" s="322"/>
      <c r="Y48" s="322"/>
      <c r="Z48" s="322"/>
      <c r="AA48" s="322"/>
      <c r="AB48" s="322"/>
      <c r="AC48" s="322"/>
      <c r="AD48" s="322"/>
    </row>
    <row r="49" spans="1:30" ht="11.85" customHeight="1">
      <c r="A49" s="131"/>
      <c r="B49" s="131"/>
      <c r="C49" s="131"/>
      <c r="D49" s="137" t="s">
        <v>442</v>
      </c>
      <c r="E49" s="417"/>
      <c r="F49" s="137" t="s">
        <v>443</v>
      </c>
      <c r="G49" s="131"/>
      <c r="H49" s="131"/>
      <c r="I49" s="131"/>
      <c r="J49" s="131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  <c r="V49" s="322"/>
      <c r="W49" s="322"/>
      <c r="X49" s="322"/>
      <c r="Y49" s="322"/>
      <c r="Z49" s="322"/>
      <c r="AA49" s="322"/>
      <c r="AB49" s="322"/>
      <c r="AC49" s="322"/>
      <c r="AD49" s="322"/>
    </row>
    <row r="50" spans="1:30" ht="16.350000000000001" customHeight="1">
      <c r="A50" s="131"/>
      <c r="B50" s="456" t="e">
        <f>IF(J44="","","Para UMlim: "&amp;'TABLAS U'!T42&amp;"  W/m2K")</f>
        <v>#N/A</v>
      </c>
      <c r="C50" s="131"/>
      <c r="D50" s="481" t="str">
        <f>J8</f>
        <v/>
      </c>
      <c r="E50" s="131"/>
      <c r="F50" s="482" t="e">
        <f>J44</f>
        <v>#N/A</v>
      </c>
      <c r="G50" s="597" t="e">
        <f>IF(F50&lt;D50,"CUMPLE","NO CUMPLE")</f>
        <v>#N/A</v>
      </c>
      <c r="H50" s="597"/>
      <c r="I50" s="597"/>
      <c r="J50" s="598" t="s">
        <v>220</v>
      </c>
      <c r="K50" s="322"/>
      <c r="L50" s="322"/>
      <c r="M50" s="322"/>
      <c r="N50" s="322"/>
      <c r="O50" s="322"/>
      <c r="P50" s="322"/>
      <c r="Q50" s="322"/>
      <c r="R50" s="322"/>
      <c r="S50" s="322"/>
      <c r="T50" s="322"/>
      <c r="U50" s="322"/>
      <c r="V50" s="322"/>
      <c r="W50" s="322"/>
      <c r="X50" s="322"/>
      <c r="Y50" s="322"/>
      <c r="Z50" s="322"/>
      <c r="AA50" s="322"/>
      <c r="AB50" s="322"/>
      <c r="AC50" s="322"/>
      <c r="AD50" s="322"/>
    </row>
    <row r="51" spans="1:30" ht="11.85" customHeight="1">
      <c r="A51" s="131"/>
      <c r="B51" s="131"/>
      <c r="C51" s="131"/>
      <c r="D51" s="131"/>
      <c r="E51" s="131"/>
      <c r="F51" s="131"/>
      <c r="G51" s="131"/>
      <c r="H51" s="131"/>
      <c r="I51" s="131"/>
      <c r="J51" s="598"/>
      <c r="K51" s="322"/>
      <c r="L51" s="322"/>
      <c r="M51" s="322"/>
      <c r="N51" s="322"/>
      <c r="O51" s="322"/>
      <c r="P51" s="322"/>
      <c r="Q51" s="322"/>
      <c r="R51" s="322"/>
      <c r="S51" s="322"/>
      <c r="T51" s="322"/>
      <c r="U51" s="322"/>
      <c r="V51" s="322"/>
      <c r="W51" s="322"/>
      <c r="X51" s="322"/>
      <c r="Y51" s="322"/>
      <c r="Z51" s="322"/>
      <c r="AA51" s="322"/>
      <c r="AB51" s="322"/>
      <c r="AC51" s="322"/>
      <c r="AD51" s="322"/>
    </row>
    <row r="52" spans="1:30" ht="16.350000000000001" customHeight="1">
      <c r="A52" s="131"/>
      <c r="B52" s="456" t="e">
        <f>IF(J44="","","Para UMm&lt; "&amp; 'TABLAS U'!AI42&amp;"  W/m2K")</f>
        <v>#N/A</v>
      </c>
      <c r="C52" s="131"/>
      <c r="D52" s="457" t="e">
        <f>IF(J44="","",'TABLAS U'!AD42)</f>
        <v>#N/A</v>
      </c>
      <c r="E52" s="131"/>
      <c r="F52" s="457" t="e">
        <f>J44</f>
        <v>#N/A</v>
      </c>
      <c r="G52" s="599" t="e">
        <f>IF(F52&lt;D52,"CUMPLE","NO CUMPLE")</f>
        <v>#N/A</v>
      </c>
      <c r="H52" s="599"/>
      <c r="I52" s="599"/>
      <c r="J52" s="598"/>
      <c r="K52" s="322"/>
      <c r="L52" s="322"/>
      <c r="M52" s="322"/>
      <c r="N52" s="322"/>
      <c r="O52" s="322"/>
      <c r="P52" s="322"/>
      <c r="Q52" s="322"/>
      <c r="R52" s="322"/>
      <c r="S52" s="322"/>
      <c r="T52" s="322"/>
      <c r="U52" s="322"/>
      <c r="V52" s="322"/>
      <c r="W52" s="322"/>
      <c r="X52" s="322"/>
      <c r="Y52" s="322"/>
      <c r="Z52" s="322"/>
      <c r="AA52" s="322"/>
      <c r="AB52" s="322"/>
      <c r="AC52" s="322"/>
      <c r="AD52" s="322"/>
    </row>
    <row r="53" spans="1:30" ht="11.85" customHeight="1">
      <c r="A53" s="131"/>
      <c r="B53" s="131"/>
      <c r="C53" s="131"/>
      <c r="D53" s="131"/>
      <c r="E53" s="131"/>
      <c r="F53" s="131"/>
      <c r="G53" s="131"/>
      <c r="H53" s="131"/>
      <c r="I53" s="131"/>
      <c r="J53" s="598"/>
      <c r="K53" s="322"/>
      <c r="L53" s="322"/>
      <c r="M53" s="322"/>
      <c r="N53" s="322"/>
      <c r="O53" s="322"/>
      <c r="P53" s="322"/>
      <c r="Q53" s="322"/>
      <c r="R53" s="322"/>
      <c r="S53" s="322"/>
      <c r="T53" s="322"/>
      <c r="U53" s="322"/>
      <c r="V53" s="322"/>
      <c r="W53" s="322"/>
      <c r="X53" s="322"/>
      <c r="Y53" s="322"/>
      <c r="Z53" s="322"/>
      <c r="AA53" s="322"/>
      <c r="AB53" s="322"/>
      <c r="AC53" s="322"/>
      <c r="AD53" s="322"/>
    </row>
    <row r="54" spans="1:30">
      <c r="A54" s="131"/>
      <c r="B54" s="131"/>
      <c r="C54" s="131"/>
      <c r="D54" s="131"/>
      <c r="E54" s="131"/>
      <c r="F54" s="131"/>
      <c r="G54" s="131"/>
      <c r="H54" s="131"/>
      <c r="I54" s="131"/>
      <c r="J54" s="598"/>
      <c r="K54" s="322"/>
      <c r="L54" s="322"/>
      <c r="M54" s="322"/>
      <c r="N54" s="322"/>
      <c r="O54" s="322"/>
      <c r="P54" s="322"/>
      <c r="Q54" s="322"/>
      <c r="R54" s="322"/>
      <c r="S54" s="322"/>
      <c r="T54" s="322"/>
      <c r="U54" s="322"/>
      <c r="V54" s="322"/>
      <c r="W54" s="322"/>
      <c r="X54" s="322"/>
      <c r="Y54" s="322"/>
      <c r="Z54" s="322"/>
      <c r="AA54" s="322"/>
      <c r="AB54" s="322"/>
      <c r="AC54" s="322"/>
      <c r="AD54" s="322"/>
    </row>
    <row r="55" spans="1:30" ht="17.100000000000001" customHeight="1">
      <c r="A55" s="131"/>
      <c r="B55" s="583" t="s">
        <v>587</v>
      </c>
      <c r="C55" s="583"/>
      <c r="D55" s="583"/>
      <c r="E55" s="583"/>
      <c r="F55" s="583"/>
      <c r="G55" s="583"/>
      <c r="H55" s="583"/>
      <c r="I55" s="583"/>
      <c r="J55" s="583"/>
      <c r="K55" s="322"/>
      <c r="L55" s="322"/>
      <c r="M55" s="322"/>
      <c r="N55" s="322"/>
      <c r="O55" s="322"/>
      <c r="P55" s="322"/>
      <c r="Q55" s="322"/>
      <c r="R55" s="322"/>
      <c r="S55" s="322"/>
      <c r="T55" s="322"/>
      <c r="U55" s="322"/>
      <c r="V55" s="322"/>
      <c r="W55" s="322"/>
      <c r="X55" s="322"/>
      <c r="Y55" s="322"/>
      <c r="Z55" s="322"/>
      <c r="AA55" s="322"/>
      <c r="AB55" s="322"/>
      <c r="AC55" s="322"/>
      <c r="AD55" s="322"/>
    </row>
    <row r="56" spans="1:30" ht="11.85" customHeight="1">
      <c r="A56" s="131"/>
      <c r="B56" s="583"/>
      <c r="C56" s="583"/>
      <c r="D56" s="583"/>
      <c r="E56" s="583"/>
      <c r="F56" s="583"/>
      <c r="G56" s="583"/>
      <c r="H56" s="583"/>
      <c r="I56" s="583"/>
      <c r="J56" s="583"/>
      <c r="K56" s="322"/>
      <c r="L56" s="322"/>
      <c r="M56" s="322"/>
      <c r="N56" s="322"/>
      <c r="O56" s="322"/>
      <c r="P56" s="322"/>
      <c r="Q56" s="322"/>
      <c r="R56" s="322"/>
      <c r="S56" s="322"/>
      <c r="T56" s="322"/>
      <c r="U56" s="322"/>
      <c r="V56" s="322"/>
      <c r="W56" s="322"/>
      <c r="X56" s="322"/>
      <c r="Y56" s="322"/>
      <c r="Z56" s="322"/>
      <c r="AA56" s="322"/>
      <c r="AB56" s="322"/>
      <c r="AC56" s="322"/>
      <c r="AD56" s="322"/>
    </row>
    <row r="57" spans="1:30">
      <c r="B57" s="583"/>
      <c r="C57" s="583"/>
      <c r="D57" s="583"/>
      <c r="E57" s="583"/>
      <c r="F57" s="583"/>
      <c r="G57" s="583"/>
      <c r="H57" s="583"/>
      <c r="I57" s="583"/>
      <c r="J57" s="583"/>
      <c r="K57" s="322"/>
      <c r="L57" s="322"/>
      <c r="M57" s="322"/>
      <c r="N57" s="322"/>
      <c r="O57" s="322"/>
      <c r="P57" s="322"/>
      <c r="Q57" s="322"/>
      <c r="R57" s="322"/>
      <c r="S57" s="322"/>
      <c r="T57" s="322"/>
      <c r="U57" s="322"/>
      <c r="V57" s="322"/>
      <c r="W57" s="322"/>
      <c r="X57" s="322"/>
      <c r="Y57" s="322"/>
      <c r="Z57" s="322"/>
      <c r="AA57" s="322"/>
      <c r="AB57" s="322"/>
      <c r="AC57" s="322"/>
      <c r="AD57" s="322"/>
    </row>
    <row r="61" spans="1:30" ht="15" customHeight="1"/>
    <row r="62" spans="1:30" ht="5.85" customHeight="1"/>
    <row r="63" spans="1:30" ht="15" customHeight="1"/>
  </sheetData>
  <sheetProtection algorithmName="SHA-512" hashValue="ygpF7dOrSaFlkib9NPCD3jyHusdAqCEaGTzss09Gm0Uupz17SsYNw7256Moc6qYU2hD5ZxHEWCzvGtnK1jnr1A==" saltValue="HB52oUiydGWWYCLflgp5qw==" spinCount="100000" sheet="1" objects="1" scenarios="1" selectLockedCells="1"/>
  <mergeCells count="24">
    <mergeCell ref="J8:J9"/>
    <mergeCell ref="B4:J4"/>
    <mergeCell ref="B6:D6"/>
    <mergeCell ref="F6:J6"/>
    <mergeCell ref="D2:H2"/>
    <mergeCell ref="B2:C2"/>
    <mergeCell ref="I2:J2"/>
    <mergeCell ref="B27:J27"/>
    <mergeCell ref="D29:H29"/>
    <mergeCell ref="H11:J11"/>
    <mergeCell ref="B12:J12"/>
    <mergeCell ref="D14:H14"/>
    <mergeCell ref="D20:H20"/>
    <mergeCell ref="D21:H21"/>
    <mergeCell ref="D22:H22"/>
    <mergeCell ref="D23:H23"/>
    <mergeCell ref="B55:J57"/>
    <mergeCell ref="D34:J34"/>
    <mergeCell ref="B36:J36"/>
    <mergeCell ref="B38:F41"/>
    <mergeCell ref="J44:J46"/>
    <mergeCell ref="G50:I50"/>
    <mergeCell ref="J50:J54"/>
    <mergeCell ref="G52:I52"/>
  </mergeCells>
  <conditionalFormatting sqref="J44">
    <cfRule type="expression" dxfId="8" priority="10">
      <formula>($J$44&gt;$J$8)</formula>
    </cfRule>
  </conditionalFormatting>
  <conditionalFormatting sqref="G50:I50 G52:I52">
    <cfRule type="cellIs" dxfId="7" priority="9" operator="equal">
      <formula>"NO CUMPLE"</formula>
    </cfRule>
  </conditionalFormatting>
  <conditionalFormatting sqref="Q37:Q39 V35:V36 N35:N36 S37 Q29:S31 O29:O30 P30 U29:U30 X14:X15 AB15:AD20 X26:X27 X19:X21">
    <cfRule type="expression" dxfId="6" priority="8">
      <formula>($J$14="FIJO")</formula>
    </cfRule>
  </conditionalFormatting>
  <conditionalFormatting sqref="P36:Q44 U36:U44 R37:T44">
    <cfRule type="expression" dxfId="5" priority="7">
      <formula>(#REF!="Monolitico")</formula>
    </cfRule>
  </conditionalFormatting>
  <conditionalFormatting sqref="U36:U44 S37:T44">
    <cfRule type="expression" dxfId="4" priority="6">
      <formula>(#REF!&lt;&gt;"Triple Vidrio")</formula>
    </cfRule>
  </conditionalFormatting>
  <conditionalFormatting sqref="P36:P39">
    <cfRule type="expression" dxfId="3" priority="5">
      <formula>(#REF!="Normal")</formula>
    </cfRule>
  </conditionalFormatting>
  <conditionalFormatting sqref="T37:T39">
    <cfRule type="expression" dxfId="2" priority="4">
      <formula>(#REF!&lt;&gt;"2 Capas bajo emisivas")</formula>
    </cfRule>
  </conditionalFormatting>
  <conditionalFormatting sqref="D19:H23">
    <cfRule type="expression" dxfId="1" priority="2">
      <formula>($B$25=0)</formula>
    </cfRule>
  </conditionalFormatting>
  <pageMargins left="0.86614173228346458" right="0.39370078740157483" top="0.39370078740157483" bottom="0.39370078740157483" header="0.31496062992125984" footer="0.31496062992125984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errorStyle="warning" allowBlank="1" showInputMessage="1" showErrorMessage="1" error="NO PERMITIDO">
          <x14:formula1>
            <xm:f>VIDRIO2!CB3:CB12</xm:f>
          </x14:formula1>
          <xm:sqref>Q44 S44</xm:sqref>
        </x14:dataValidation>
        <x14:dataValidation type="list" errorStyle="warning" allowBlank="1" showInputMessage="1" showErrorMessage="1" error="NO PERMITIDO">
          <x14:formula1>
            <xm:f>VIDRIO2!CA3:CA13</xm:f>
          </x14:formula1>
          <xm:sqref>U44 R44 O44 V51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6"/>
  <dimension ref="A1:AD67"/>
  <sheetViews>
    <sheetView showGridLines="0" showRowColHeaders="0" showRuler="0" view="pageLayout" workbookViewId="0"/>
  </sheetViews>
  <sheetFormatPr baseColWidth="10" defaultColWidth="11.42578125" defaultRowHeight="15"/>
  <cols>
    <col min="1" max="1" width="0.85546875" customWidth="1"/>
    <col min="2" max="2" width="11.42578125" customWidth="1"/>
    <col min="3" max="3" width="0.85546875" customWidth="1"/>
    <col min="4" max="4" width="11.42578125" customWidth="1"/>
    <col min="5" max="5" width="0.85546875" customWidth="1"/>
    <col min="6" max="6" width="11.42578125" customWidth="1"/>
    <col min="7" max="7" width="0.85546875" customWidth="1"/>
    <col min="8" max="8" width="11.42578125" customWidth="1"/>
    <col min="9" max="9" width="0.85546875" customWidth="1"/>
    <col min="10" max="10" width="11.42578125" customWidth="1"/>
    <col min="11" max="11" width="0.85546875" customWidth="1"/>
    <col min="12" max="12" width="11.42578125" customWidth="1"/>
    <col min="13" max="13" width="0.85546875" customWidth="1"/>
    <col min="14" max="14" width="11.42578125" customWidth="1"/>
    <col min="15" max="15" width="0.85546875" customWidth="1"/>
    <col min="16" max="16" width="11.85546875" bestFit="1" customWidth="1"/>
  </cols>
  <sheetData>
    <row r="1" spans="1:30" ht="8.4499999999999993" customHeight="1"/>
    <row r="2" spans="1:30" ht="25.5" customHeight="1">
      <c r="A2" s="131"/>
      <c r="B2" s="613" t="s">
        <v>601</v>
      </c>
      <c r="C2" s="613"/>
      <c r="D2" s="613"/>
      <c r="E2" s="612" t="s">
        <v>584</v>
      </c>
      <c r="F2" s="612"/>
      <c r="G2" s="612"/>
      <c r="H2" s="612"/>
      <c r="I2" s="612"/>
      <c r="J2" s="612"/>
      <c r="K2" s="612"/>
      <c r="L2" s="614" t="s">
        <v>21</v>
      </c>
      <c r="M2" s="614"/>
      <c r="N2" s="614"/>
      <c r="O2" s="459"/>
      <c r="U2" s="459"/>
      <c r="V2" s="459"/>
      <c r="W2" s="459"/>
      <c r="X2" s="459"/>
      <c r="Y2" s="459"/>
      <c r="Z2" s="459"/>
      <c r="AA2" s="322"/>
      <c r="AB2" s="322"/>
      <c r="AC2" s="322"/>
      <c r="AD2" s="322"/>
    </row>
    <row r="3" spans="1:30" ht="8.4499999999999993" customHeight="1">
      <c r="A3" s="131"/>
      <c r="E3" s="460"/>
      <c r="F3" s="460"/>
      <c r="G3" s="461"/>
      <c r="H3" s="461"/>
      <c r="I3" s="461"/>
      <c r="J3" s="461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</row>
    <row r="4" spans="1:30" ht="12.95" customHeight="1">
      <c r="A4" s="131"/>
      <c r="B4" s="622" t="s">
        <v>243</v>
      </c>
      <c r="C4" s="623"/>
      <c r="D4" s="623"/>
      <c r="E4" s="623"/>
      <c r="F4" s="623"/>
      <c r="G4" s="623"/>
      <c r="H4" s="623"/>
      <c r="I4" s="623"/>
      <c r="J4" s="623"/>
      <c r="K4" s="623"/>
      <c r="L4" s="623"/>
      <c r="M4" s="623"/>
      <c r="N4" s="624"/>
      <c r="O4" s="131"/>
    </row>
    <row r="5" spans="1:30" ht="12" customHeight="1">
      <c r="A5" s="131"/>
      <c r="B5" s="137" t="s">
        <v>259</v>
      </c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</row>
    <row r="6" spans="1:30" ht="12.95" customHeight="1">
      <c r="A6" s="131"/>
      <c r="B6" s="615" t="str">
        <f>IF(FORMULARIO!U18="","","Modelo de la serie de carpintería "&amp;FORMULARIO!U18&amp;" de Extrugasa, formada por "&amp;FORMULARIO!U25&amp;" , "&amp;IF(FORMULARIO!U27="Sin Cajón","",FORMULARIO!U27)&amp;IF('SERIES SIN'!T5=0,""," con "&amp;'SERIES SIN'!T5&amp;" fijos,")&amp;" y de dimensiones "&amp;FORMULARIO!J18&amp;" mts de ancho por "&amp;FORMULARIO!C27&amp;" mts de alto, "&amp;VIDRIO2!CL32&amp;" y por norma se ha decidido "&amp;FORMULARIO!U48&amp;" "&amp;FORMULARIO!U51&amp;IF(FORMULARIO!U48="Anular Intercalario",""," Con un coeficiente lineal de "&amp;FORMULARIO!U50))</f>
        <v/>
      </c>
      <c r="C6" s="615"/>
      <c r="D6" s="615"/>
      <c r="E6" s="131"/>
      <c r="F6" s="131"/>
      <c r="G6" s="131"/>
      <c r="H6" s="131"/>
      <c r="I6" s="131"/>
      <c r="J6" s="131"/>
      <c r="K6" s="131"/>
      <c r="L6" s="131"/>
      <c r="M6" s="131"/>
      <c r="N6" s="131"/>
      <c r="O6" s="131"/>
    </row>
    <row r="7" spans="1:30" ht="12" customHeight="1">
      <c r="A7" s="131"/>
      <c r="B7" s="615"/>
      <c r="C7" s="615"/>
      <c r="D7" s="615"/>
      <c r="E7" s="131"/>
      <c r="F7" s="131"/>
      <c r="G7" s="131"/>
      <c r="H7" s="131"/>
      <c r="I7" s="131"/>
      <c r="J7" s="131"/>
      <c r="K7" s="131"/>
      <c r="L7" s="131"/>
      <c r="M7" s="131"/>
      <c r="N7" s="131"/>
      <c r="O7" s="131"/>
    </row>
    <row r="8" spans="1:30" ht="12.95" customHeight="1">
      <c r="A8" s="131"/>
      <c r="B8" s="615"/>
      <c r="C8" s="615"/>
      <c r="D8" s="615"/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1"/>
    </row>
    <row r="9" spans="1:30" s="103" customFormat="1" ht="12" customHeight="1">
      <c r="A9" s="134"/>
      <c r="B9" s="615"/>
      <c r="C9" s="615"/>
      <c r="D9" s="615"/>
      <c r="E9" s="131"/>
      <c r="F9" s="131"/>
      <c r="G9" s="131"/>
      <c r="H9" s="131"/>
      <c r="I9" s="131"/>
      <c r="J9" s="131"/>
      <c r="K9" s="131"/>
      <c r="L9" s="131"/>
      <c r="M9" s="131"/>
      <c r="N9" s="131"/>
      <c r="O9" s="134"/>
    </row>
    <row r="10" spans="1:30" s="104" customFormat="1" ht="12.95" customHeight="1">
      <c r="A10" s="135"/>
      <c r="B10" s="615"/>
      <c r="C10" s="615"/>
      <c r="D10" s="615"/>
      <c r="E10" s="131"/>
      <c r="F10" s="131"/>
      <c r="G10" s="131"/>
      <c r="H10" s="131"/>
      <c r="I10" s="131"/>
      <c r="J10" s="131"/>
      <c r="K10" s="131"/>
      <c r="L10" s="131"/>
      <c r="M10" s="131"/>
      <c r="N10" s="131"/>
      <c r="O10" s="135"/>
    </row>
    <row r="11" spans="1:30" ht="12" customHeight="1">
      <c r="A11" s="131"/>
      <c r="B11" s="615"/>
      <c r="C11" s="615"/>
      <c r="D11" s="615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</row>
    <row r="12" spans="1:30" ht="12" customHeight="1">
      <c r="A12" s="131"/>
      <c r="B12" s="615"/>
      <c r="C12" s="615"/>
      <c r="D12" s="615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</row>
    <row r="13" spans="1:30" ht="12" customHeight="1">
      <c r="A13" s="131"/>
      <c r="B13" s="615"/>
      <c r="C13" s="615"/>
      <c r="D13" s="615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</row>
    <row r="14" spans="1:30" ht="12" customHeight="1">
      <c r="A14" s="131"/>
      <c r="B14" s="615"/>
      <c r="C14" s="615"/>
      <c r="D14" s="615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</row>
    <row r="15" spans="1:30" ht="12" customHeight="1">
      <c r="A15" s="131"/>
      <c r="B15" s="615"/>
      <c r="C15" s="615"/>
      <c r="D15" s="615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</row>
    <row r="16" spans="1:30" ht="12" customHeight="1">
      <c r="A16" s="131"/>
      <c r="B16" s="615"/>
      <c r="C16" s="615"/>
      <c r="D16" s="615"/>
      <c r="E16" s="131"/>
      <c r="F16" s="131"/>
      <c r="G16" s="131"/>
      <c r="H16" s="131"/>
      <c r="I16" s="131"/>
      <c r="J16" s="131"/>
      <c r="K16" s="131"/>
      <c r="L16" s="131"/>
      <c r="M16" s="131"/>
      <c r="N16" s="131"/>
      <c r="O16" s="131"/>
    </row>
    <row r="17" spans="1:15" ht="12" customHeight="1">
      <c r="A17" s="131"/>
      <c r="B17" s="615"/>
      <c r="C17" s="615"/>
      <c r="D17" s="615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</row>
    <row r="18" spans="1:15" ht="11.85" customHeight="1">
      <c r="A18" s="131"/>
      <c r="B18" s="615"/>
      <c r="C18" s="615"/>
      <c r="D18" s="615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</row>
    <row r="19" spans="1:15" ht="11.85" customHeight="1">
      <c r="A19" s="131"/>
      <c r="B19" s="615"/>
      <c r="C19" s="615"/>
      <c r="D19" s="615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</row>
    <row r="20" spans="1:15" ht="11.85" customHeight="1">
      <c r="A20" s="131"/>
      <c r="B20" s="615"/>
      <c r="C20" s="615"/>
      <c r="D20" s="615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</row>
    <row r="21" spans="1:15" ht="11.85" customHeight="1">
      <c r="A21" s="131"/>
      <c r="B21" s="615"/>
      <c r="C21" s="615"/>
      <c r="D21" s="615"/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</row>
    <row r="22" spans="1:15" ht="11.85" customHeight="1">
      <c r="A22" s="131"/>
      <c r="B22" s="615"/>
      <c r="C22" s="615"/>
      <c r="D22" s="615"/>
      <c r="E22" s="131"/>
      <c r="F22" s="131"/>
      <c r="G22" s="131"/>
      <c r="H22" s="131"/>
      <c r="I22" s="131"/>
      <c r="J22" s="131"/>
      <c r="K22" s="131"/>
      <c r="L22" s="131"/>
      <c r="M22" s="131"/>
      <c r="N22" s="131"/>
      <c r="O22" s="131"/>
    </row>
    <row r="23" spans="1:15" ht="11.85" customHeight="1">
      <c r="A23" s="131"/>
      <c r="B23" s="615"/>
      <c r="C23" s="615"/>
      <c r="D23" s="615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</row>
    <row r="24" spans="1:15" ht="11.85" customHeight="1">
      <c r="A24" s="131"/>
      <c r="B24" s="615"/>
      <c r="C24" s="615"/>
      <c r="D24" s="615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</row>
    <row r="25" spans="1:15" ht="11.85" customHeight="1">
      <c r="A25" s="131"/>
      <c r="B25" s="615"/>
      <c r="C25" s="615"/>
      <c r="D25" s="615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</row>
    <row r="26" spans="1:15" ht="20.100000000000001" customHeight="1">
      <c r="A26" s="131"/>
      <c r="B26" s="131"/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</row>
    <row r="27" spans="1:15" ht="12.95" customHeight="1">
      <c r="A27" s="131"/>
      <c r="B27" s="622" t="s">
        <v>265</v>
      </c>
      <c r="C27" s="623"/>
      <c r="D27" s="623"/>
      <c r="E27" s="623"/>
      <c r="F27" s="623"/>
      <c r="G27" s="623"/>
      <c r="H27" s="623"/>
      <c r="I27" s="623"/>
      <c r="J27" s="623"/>
      <c r="K27" s="623"/>
      <c r="L27" s="623"/>
      <c r="M27" s="623"/>
      <c r="N27" s="624"/>
      <c r="O27" s="131"/>
    </row>
    <row r="28" spans="1:15" ht="12" customHeight="1">
      <c r="A28" s="131"/>
      <c r="B28" s="137" t="s">
        <v>267</v>
      </c>
      <c r="C28" s="131"/>
      <c r="D28" s="131"/>
      <c r="E28" s="131"/>
      <c r="F28" s="131"/>
      <c r="G28" s="131"/>
      <c r="H28" s="131"/>
      <c r="I28" s="131"/>
      <c r="J28" s="131"/>
      <c r="K28" s="131"/>
      <c r="L28" s="131"/>
      <c r="M28" s="131"/>
      <c r="N28" s="133"/>
      <c r="O28" s="131"/>
    </row>
    <row r="29" spans="1:15" ht="12" customHeight="1">
      <c r="A29" s="131"/>
      <c r="B29" s="633" t="str">
        <f>IF(B6="","",VLOOKUP(FORMULARIO!U18,CLASIFICACIONES!A4:E11,2,FALSE))</f>
        <v/>
      </c>
      <c r="C29" s="634"/>
      <c r="D29" s="634"/>
      <c r="E29" s="634"/>
      <c r="F29" s="634"/>
      <c r="G29" s="634"/>
      <c r="H29" s="635"/>
      <c r="I29" s="131"/>
      <c r="J29" s="131"/>
      <c r="K29" s="131"/>
      <c r="L29" s="131"/>
      <c r="M29" s="131"/>
      <c r="N29" s="131"/>
      <c r="O29" s="131"/>
    </row>
    <row r="30" spans="1:15" ht="12" customHeight="1">
      <c r="A30" s="131"/>
      <c r="B30" s="131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</row>
    <row r="31" spans="1:15" ht="12" customHeight="1">
      <c r="A31" s="131"/>
      <c r="B31" s="131"/>
      <c r="C31" s="131"/>
      <c r="D31" s="616" t="s">
        <v>268</v>
      </c>
      <c r="E31" s="617"/>
      <c r="F31" s="618"/>
      <c r="G31" s="131"/>
      <c r="H31" s="616" t="s">
        <v>269</v>
      </c>
      <c r="I31" s="617"/>
      <c r="J31" s="618"/>
      <c r="K31" s="131"/>
      <c r="L31" s="616" t="s">
        <v>270</v>
      </c>
      <c r="M31" s="617"/>
      <c r="N31" s="618"/>
      <c r="O31" s="131"/>
    </row>
    <row r="32" spans="1:15" ht="12" customHeight="1">
      <c r="A32" s="131"/>
      <c r="B32" s="131"/>
      <c r="C32" s="131"/>
      <c r="D32" s="619" t="s">
        <v>448</v>
      </c>
      <c r="E32" s="620"/>
      <c r="F32" s="621"/>
      <c r="G32" s="131"/>
      <c r="H32" s="619" t="s">
        <v>449</v>
      </c>
      <c r="I32" s="620"/>
      <c r="J32" s="621"/>
      <c r="K32" s="131"/>
      <c r="L32" s="619" t="s">
        <v>447</v>
      </c>
      <c r="M32" s="620"/>
      <c r="N32" s="621"/>
      <c r="O32" s="131"/>
    </row>
    <row r="33" spans="1:15" ht="12" customHeight="1">
      <c r="A33" s="131"/>
      <c r="B33" s="131"/>
      <c r="C33" s="131"/>
      <c r="D33" s="619" t="s">
        <v>444</v>
      </c>
      <c r="E33" s="620"/>
      <c r="F33" s="621"/>
      <c r="G33" s="131"/>
      <c r="H33" s="619" t="s">
        <v>445</v>
      </c>
      <c r="I33" s="620"/>
      <c r="J33" s="621"/>
      <c r="K33" s="131"/>
      <c r="L33" s="619" t="s">
        <v>446</v>
      </c>
      <c r="M33" s="620"/>
      <c r="N33" s="621"/>
      <c r="O33" s="131"/>
    </row>
    <row r="34" spans="1:15" ht="12" customHeight="1">
      <c r="A34" s="131"/>
      <c r="B34" s="131"/>
      <c r="C34" s="131"/>
      <c r="D34" s="636" t="str">
        <f>IF(B6="","",VLOOKUP(FORMULARIO!U18,CLASIFICACIONES!A4:E11,3,FALSE))</f>
        <v/>
      </c>
      <c r="E34" s="637"/>
      <c r="F34" s="638"/>
      <c r="G34" s="131"/>
      <c r="H34" s="636" t="str">
        <f>IF(B6="","",VLOOKUP(FORMULARIO!U18,CLASIFICACIONES!A4:E11,4,FALSE))</f>
        <v/>
      </c>
      <c r="I34" s="637"/>
      <c r="J34" s="638"/>
      <c r="K34" s="131"/>
      <c r="L34" s="636" t="str">
        <f>IF(B6="","",VLOOKUP(FORMULARIO!U18,CLASIFICACIONES!A4:E11,5,FALSE))</f>
        <v/>
      </c>
      <c r="M34" s="637"/>
      <c r="N34" s="638"/>
      <c r="O34" s="131"/>
    </row>
    <row r="35" spans="1:15" ht="12" customHeight="1">
      <c r="A35" s="131"/>
      <c r="B35" s="131"/>
      <c r="C35" s="131"/>
      <c r="D35" s="639"/>
      <c r="E35" s="640"/>
      <c r="F35" s="641"/>
      <c r="G35" s="131"/>
      <c r="H35" s="639"/>
      <c r="I35" s="640"/>
      <c r="J35" s="641"/>
      <c r="K35" s="131"/>
      <c r="L35" s="639"/>
      <c r="M35" s="640"/>
      <c r="N35" s="641"/>
      <c r="O35" s="131"/>
    </row>
    <row r="36" spans="1:15" ht="11.85" customHeight="1">
      <c r="A36" s="131"/>
      <c r="B36" s="131"/>
      <c r="C36" s="131"/>
      <c r="D36" s="131"/>
      <c r="E36" s="131"/>
      <c r="F36" s="131"/>
      <c r="G36" s="131"/>
      <c r="H36" s="131"/>
      <c r="I36" s="131"/>
      <c r="J36" s="131"/>
      <c r="K36" s="131"/>
      <c r="L36" s="131"/>
      <c r="M36" s="131"/>
      <c r="N36" s="131"/>
      <c r="O36" s="131"/>
    </row>
    <row r="37" spans="1:15" ht="11.85" customHeight="1">
      <c r="A37" s="131"/>
      <c r="B37" s="583" t="s">
        <v>353</v>
      </c>
      <c r="C37" s="583"/>
      <c r="D37" s="583"/>
      <c r="E37" s="583"/>
      <c r="F37" s="583"/>
      <c r="G37" s="583"/>
      <c r="H37" s="583"/>
      <c r="I37" s="583"/>
      <c r="J37" s="583"/>
      <c r="K37" s="583"/>
      <c r="L37" s="583"/>
      <c r="M37" s="583"/>
      <c r="N37" s="583"/>
      <c r="O37" s="131"/>
    </row>
    <row r="38" spans="1:15" ht="11.85" customHeight="1">
      <c r="A38" s="131"/>
      <c r="B38" s="583"/>
      <c r="C38" s="583"/>
      <c r="D38" s="583"/>
      <c r="E38" s="583"/>
      <c r="F38" s="583"/>
      <c r="G38" s="583"/>
      <c r="H38" s="583"/>
      <c r="I38" s="583"/>
      <c r="J38" s="583"/>
      <c r="K38" s="583"/>
      <c r="L38" s="583"/>
      <c r="M38" s="583"/>
      <c r="N38" s="583"/>
      <c r="O38" s="131"/>
    </row>
    <row r="39" spans="1:15" ht="20.100000000000001" customHeight="1">
      <c r="A39" s="131"/>
      <c r="B39" s="131"/>
      <c r="C39" s="131"/>
      <c r="D39" s="131"/>
      <c r="E39" s="131"/>
      <c r="F39" s="131"/>
      <c r="G39" s="131"/>
      <c r="H39" s="131"/>
      <c r="I39" s="131"/>
      <c r="J39" s="131"/>
      <c r="K39" s="131"/>
      <c r="L39" s="131"/>
      <c r="M39" s="131"/>
      <c r="N39" s="131"/>
      <c r="O39" s="131"/>
    </row>
    <row r="40" spans="1:15" ht="12.95" customHeight="1">
      <c r="A40" s="131"/>
      <c r="B40" s="622" t="s">
        <v>189</v>
      </c>
      <c r="C40" s="623"/>
      <c r="D40" s="623"/>
      <c r="E40" s="623"/>
      <c r="F40" s="623"/>
      <c r="G40" s="623"/>
      <c r="H40" s="623"/>
      <c r="I40" s="623"/>
      <c r="J40" s="623"/>
      <c r="K40" s="623"/>
      <c r="L40" s="623"/>
      <c r="M40" s="623"/>
      <c r="N40" s="624"/>
      <c r="O40" s="131"/>
    </row>
    <row r="41" spans="1:15" ht="12" customHeight="1">
      <c r="A41" s="131"/>
      <c r="B41" s="131"/>
      <c r="C41" s="131"/>
      <c r="D41" s="131"/>
      <c r="E41" s="131"/>
      <c r="F41" s="131"/>
      <c r="G41" s="131"/>
      <c r="H41" s="131"/>
      <c r="I41" s="131"/>
      <c r="J41" s="131"/>
      <c r="K41" s="131"/>
      <c r="L41" s="137" t="s">
        <v>450</v>
      </c>
      <c r="M41" s="131"/>
      <c r="N41" s="131"/>
      <c r="O41" s="131"/>
    </row>
    <row r="42" spans="1:15" ht="12" customHeight="1">
      <c r="A42" s="131"/>
      <c r="B42" s="625" t="e">
        <f>"Transmitancia Térmica obtenida de una ventana de la serie "&amp;FORMULARIO!U18&amp;" ("&amp;FORMULARIO!U20&amp;"), con unas dimensiones de "&amp;FORMULARIO!J18&amp;" m de ancho por "&amp;FORMULARIO!C27&amp;" m de alto y con un "&amp;VIDRIO2!CL32</f>
        <v>#N/A</v>
      </c>
      <c r="C42" s="625"/>
      <c r="D42" s="625"/>
      <c r="E42" s="625"/>
      <c r="F42" s="625"/>
      <c r="G42" s="625"/>
      <c r="H42" s="625"/>
      <c r="I42" s="625"/>
      <c r="J42" s="625"/>
      <c r="K42" s="136"/>
      <c r="L42" s="626" t="e">
        <f>C.T.E.!J44</f>
        <v>#N/A</v>
      </c>
      <c r="M42" s="627"/>
      <c r="N42" s="628"/>
      <c r="O42" s="131"/>
    </row>
    <row r="43" spans="1:15" ht="12" customHeight="1">
      <c r="A43" s="131"/>
      <c r="B43" s="625"/>
      <c r="C43" s="625"/>
      <c r="D43" s="625"/>
      <c r="E43" s="625"/>
      <c r="F43" s="625"/>
      <c r="G43" s="625"/>
      <c r="H43" s="625"/>
      <c r="I43" s="625"/>
      <c r="J43" s="625"/>
      <c r="K43" s="136"/>
      <c r="L43" s="629"/>
      <c r="M43" s="630"/>
      <c r="N43" s="631"/>
      <c r="O43" s="131"/>
    </row>
    <row r="44" spans="1:15" ht="12" customHeight="1">
      <c r="A44" s="131"/>
      <c r="B44" s="625"/>
      <c r="C44" s="625"/>
      <c r="D44" s="625"/>
      <c r="E44" s="625"/>
      <c r="F44" s="625"/>
      <c r="G44" s="625"/>
      <c r="H44" s="625"/>
      <c r="I44" s="625"/>
      <c r="J44" s="625"/>
      <c r="K44" s="136"/>
      <c r="L44" s="632" t="s">
        <v>124</v>
      </c>
      <c r="M44" s="632"/>
      <c r="N44" s="632"/>
      <c r="O44" s="131"/>
    </row>
    <row r="45" spans="1:15" ht="12" customHeight="1">
      <c r="A45" s="131"/>
      <c r="C45" s="483"/>
      <c r="D45" s="483"/>
      <c r="E45" s="483"/>
      <c r="F45" s="483"/>
      <c r="G45" s="483"/>
      <c r="H45" s="483"/>
      <c r="I45" s="483"/>
      <c r="J45" s="483"/>
      <c r="K45" s="483"/>
      <c r="L45" s="483"/>
      <c r="M45" s="483"/>
      <c r="N45" s="483"/>
      <c r="O45" s="131"/>
    </row>
    <row r="46" spans="1:15" ht="12" customHeight="1">
      <c r="A46" s="131"/>
      <c r="B46" s="583" t="s">
        <v>588</v>
      </c>
      <c r="C46" s="583"/>
      <c r="D46" s="583"/>
      <c r="E46" s="583"/>
      <c r="F46" s="583"/>
      <c r="G46" s="583"/>
      <c r="H46" s="583"/>
      <c r="I46" s="583"/>
      <c r="J46" s="583"/>
      <c r="K46" s="583"/>
      <c r="L46" s="583"/>
      <c r="M46" s="583"/>
      <c r="N46" s="583"/>
      <c r="O46" s="131"/>
    </row>
    <row r="47" spans="1:15" ht="12" customHeight="1">
      <c r="A47" s="131"/>
      <c r="B47" s="583"/>
      <c r="C47" s="583"/>
      <c r="D47" s="583"/>
      <c r="E47" s="583"/>
      <c r="F47" s="583"/>
      <c r="G47" s="583"/>
      <c r="H47" s="583"/>
      <c r="I47" s="583"/>
      <c r="J47" s="583"/>
      <c r="K47" s="583"/>
      <c r="L47" s="583"/>
      <c r="M47" s="583"/>
      <c r="N47" s="583"/>
      <c r="O47" s="131"/>
    </row>
    <row r="48" spans="1:15" ht="15" customHeight="1">
      <c r="A48" s="131"/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</row>
    <row r="49" spans="1:15" ht="12" customHeight="1">
      <c r="A49" s="131"/>
      <c r="B49" s="622" t="s">
        <v>244</v>
      </c>
      <c r="C49" s="623"/>
      <c r="D49" s="623"/>
      <c r="E49" s="623"/>
      <c r="F49" s="623"/>
      <c r="G49" s="623"/>
      <c r="H49" s="623"/>
      <c r="I49" s="623"/>
      <c r="J49" s="623"/>
      <c r="K49" s="623"/>
      <c r="L49" s="623"/>
      <c r="M49" s="623"/>
      <c r="N49" s="624"/>
      <c r="O49" s="131"/>
    </row>
    <row r="50" spans="1:15" ht="12" customHeight="1">
      <c r="A50" s="131"/>
      <c r="B50" s="131"/>
      <c r="C50" s="131"/>
      <c r="D50" s="131"/>
      <c r="E50" s="131"/>
      <c r="F50" s="131"/>
      <c r="G50" s="131"/>
      <c r="H50" s="131"/>
      <c r="I50" s="131"/>
      <c r="J50" s="131"/>
      <c r="K50" s="131"/>
      <c r="L50" s="138" t="s">
        <v>346</v>
      </c>
      <c r="M50" s="131"/>
      <c r="N50" s="131"/>
      <c r="O50" s="131"/>
    </row>
    <row r="51" spans="1:15" ht="12" customHeight="1">
      <c r="A51" s="131"/>
      <c r="B51" s="625" t="e">
        <f>"Características Acústicas obtenidas para una ventana de la serie "&amp;FORMULARIO!U18&amp;" ("&amp;FORMULARIO!U20&amp;"), con un Area de "&amp;ACUSTICA!A2&amp;" m2 ("&amp;ACUSTICA!D2&amp;") para un "&amp;VIDRIO2!CL32&amp;" con un Rw(C;Ctr) de "&amp;ACUSTICA!K2&amp;" (aportado por Cristalglass)."</f>
        <v>#N/A</v>
      </c>
      <c r="C51" s="625"/>
      <c r="D51" s="625"/>
      <c r="E51" s="625"/>
      <c r="F51" s="625"/>
      <c r="G51" s="625"/>
      <c r="H51" s="625"/>
      <c r="I51" s="625"/>
      <c r="J51" s="625"/>
      <c r="K51" s="136"/>
      <c r="L51" s="626" t="str">
        <f>IF(B6="","",ACUSTICA!L2)</f>
        <v/>
      </c>
      <c r="M51" s="627"/>
      <c r="N51" s="628"/>
      <c r="O51" s="131"/>
    </row>
    <row r="52" spans="1:15" ht="12" customHeight="1">
      <c r="A52" s="131"/>
      <c r="B52" s="625"/>
      <c r="C52" s="625"/>
      <c r="D52" s="625"/>
      <c r="E52" s="625"/>
      <c r="F52" s="625"/>
      <c r="G52" s="625"/>
      <c r="H52" s="625"/>
      <c r="I52" s="625"/>
      <c r="J52" s="625"/>
      <c r="K52" s="136"/>
      <c r="L52" s="629"/>
      <c r="M52" s="630"/>
      <c r="N52" s="631"/>
      <c r="O52" s="131"/>
    </row>
    <row r="53" spans="1:15" ht="12" customHeight="1">
      <c r="A53" s="131"/>
      <c r="B53" s="625"/>
      <c r="C53" s="625"/>
      <c r="D53" s="625"/>
      <c r="E53" s="625"/>
      <c r="F53" s="625"/>
      <c r="G53" s="625"/>
      <c r="H53" s="625"/>
      <c r="I53" s="625"/>
      <c r="J53" s="625"/>
      <c r="K53" s="136"/>
      <c r="L53" s="136"/>
      <c r="M53" s="131"/>
      <c r="N53" s="131"/>
      <c r="O53" s="131"/>
    </row>
    <row r="54" spans="1:15" ht="12" customHeight="1">
      <c r="A54" s="131"/>
      <c r="B54" s="136"/>
      <c r="C54" s="136"/>
      <c r="D54" s="136"/>
      <c r="E54" s="136"/>
      <c r="F54" s="136"/>
      <c r="G54" s="136"/>
      <c r="H54" s="136"/>
      <c r="I54" s="131"/>
      <c r="J54" s="131"/>
      <c r="K54" s="131"/>
      <c r="L54" s="131"/>
      <c r="M54" s="131"/>
      <c r="N54" s="131"/>
      <c r="O54" s="131"/>
    </row>
    <row r="55" spans="1:15" ht="12" customHeight="1">
      <c r="A55" s="131"/>
      <c r="B55" s="583" t="s">
        <v>351</v>
      </c>
      <c r="C55" s="583"/>
      <c r="D55" s="583"/>
      <c r="E55" s="583"/>
      <c r="F55" s="583"/>
      <c r="G55" s="583"/>
      <c r="H55" s="583"/>
      <c r="I55" s="583"/>
      <c r="J55" s="583"/>
      <c r="K55" s="583"/>
      <c r="L55" s="583"/>
      <c r="M55" s="583"/>
      <c r="N55" s="583"/>
      <c r="O55" s="131"/>
    </row>
    <row r="56" spans="1:15" ht="12" customHeight="1">
      <c r="A56" s="131"/>
      <c r="B56" s="583"/>
      <c r="C56" s="583"/>
      <c r="D56" s="583"/>
      <c r="E56" s="583"/>
      <c r="F56" s="583"/>
      <c r="G56" s="583"/>
      <c r="H56" s="583"/>
      <c r="I56" s="583"/>
      <c r="J56" s="583"/>
      <c r="K56" s="583"/>
      <c r="L56" s="583"/>
      <c r="M56" s="583"/>
      <c r="N56" s="583"/>
      <c r="O56" s="131"/>
    </row>
    <row r="57" spans="1:15" ht="12" customHeight="1">
      <c r="A57" s="131"/>
      <c r="B57" s="131"/>
      <c r="C57" s="131"/>
      <c r="D57" s="131"/>
      <c r="E57" s="131"/>
      <c r="F57" s="131"/>
      <c r="G57" s="131"/>
      <c r="H57" s="131"/>
      <c r="I57" s="131"/>
      <c r="J57" s="131"/>
      <c r="K57" s="131"/>
      <c r="L57" s="131"/>
      <c r="M57" s="131"/>
      <c r="N57" s="131"/>
      <c r="O57" s="131"/>
    </row>
    <row r="58" spans="1:15" ht="12" customHeight="1">
      <c r="A58" s="131"/>
      <c r="B58" s="622" t="s">
        <v>347</v>
      </c>
      <c r="C58" s="623"/>
      <c r="D58" s="623"/>
      <c r="E58" s="623"/>
      <c r="F58" s="623"/>
      <c r="G58" s="623"/>
      <c r="H58" s="623"/>
      <c r="I58" s="623"/>
      <c r="J58" s="623"/>
      <c r="K58" s="623"/>
      <c r="L58" s="623"/>
      <c r="M58" s="623"/>
      <c r="N58" s="624"/>
      <c r="O58" s="131"/>
    </row>
    <row r="59" spans="1:15" ht="12" customHeight="1">
      <c r="A59" s="131"/>
      <c r="B59" s="137" t="s">
        <v>267</v>
      </c>
      <c r="C59" s="131"/>
      <c r="D59" s="131"/>
      <c r="E59" s="131"/>
      <c r="F59" s="131"/>
      <c r="G59" s="131"/>
      <c r="H59" s="131"/>
      <c r="I59" s="131"/>
      <c r="J59" s="131"/>
      <c r="K59" s="131"/>
      <c r="L59" s="137" t="s">
        <v>348</v>
      </c>
      <c r="M59" s="131"/>
      <c r="N59" s="131"/>
      <c r="O59" s="131"/>
    </row>
    <row r="60" spans="1:15" ht="12" customHeight="1">
      <c r="A60" s="131"/>
      <c r="B60" s="633" t="str">
        <f>IF(B6="","",VLOOKUP(FORMULARIO!U18,CLASIFICACIONES!A4:E11,2,FALSE))</f>
        <v/>
      </c>
      <c r="C60" s="634"/>
      <c r="D60" s="634"/>
      <c r="E60" s="634"/>
      <c r="F60" s="634"/>
      <c r="G60" s="634"/>
      <c r="H60" s="635"/>
      <c r="I60" s="131"/>
      <c r="J60" s="131"/>
      <c r="K60" s="131"/>
      <c r="L60" s="626" t="str">
        <f>IF(B6="","",VLOOKUP(FORMULARIO!U18,CLASIFICACIONES!A4:F11,6,FALSE))</f>
        <v/>
      </c>
      <c r="M60" s="627"/>
      <c r="N60" s="628"/>
      <c r="O60" s="131"/>
    </row>
    <row r="61" spans="1:15" ht="12" customHeight="1">
      <c r="A61" s="131"/>
      <c r="B61" s="484" t="str">
        <f>IF(B6="","",ACUSTICA!C2)</f>
        <v/>
      </c>
      <c r="C61" s="131"/>
      <c r="D61" s="131"/>
      <c r="E61" s="131"/>
      <c r="F61" s="131"/>
      <c r="G61" s="131"/>
      <c r="H61" s="131"/>
      <c r="I61" s="131"/>
      <c r="J61" s="131"/>
      <c r="K61" s="131"/>
      <c r="L61" s="629"/>
      <c r="M61" s="630"/>
      <c r="N61" s="631"/>
      <c r="O61" s="131"/>
    </row>
    <row r="62" spans="1:15" ht="12" customHeight="1">
      <c r="A62" s="131"/>
      <c r="B62" s="583" t="s">
        <v>352</v>
      </c>
      <c r="C62" s="583"/>
      <c r="D62" s="583"/>
      <c r="E62" s="583"/>
      <c r="F62" s="583"/>
      <c r="G62" s="583"/>
      <c r="H62" s="583"/>
      <c r="I62" s="583"/>
      <c r="J62" s="583"/>
      <c r="K62" s="583"/>
      <c r="L62" s="583"/>
      <c r="M62" s="583"/>
      <c r="N62" s="583"/>
      <c r="O62" s="131"/>
    </row>
    <row r="63" spans="1:15" ht="12" customHeight="1">
      <c r="A63" s="131"/>
      <c r="B63" s="583"/>
      <c r="C63" s="583"/>
      <c r="D63" s="583"/>
      <c r="E63" s="583"/>
      <c r="F63" s="583"/>
      <c r="G63" s="583"/>
      <c r="H63" s="583"/>
      <c r="I63" s="583"/>
      <c r="J63" s="583"/>
      <c r="K63" s="583"/>
      <c r="L63" s="583"/>
      <c r="M63" s="583"/>
      <c r="N63" s="583"/>
      <c r="O63" s="131"/>
    </row>
    <row r="64" spans="1:15" ht="12" customHeight="1">
      <c r="A64" s="131"/>
      <c r="B64" s="131"/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</row>
    <row r="65" ht="12" customHeight="1"/>
    <row r="66" ht="17.100000000000001" customHeight="1"/>
    <row r="67" ht="17.100000000000001" customHeight="1"/>
  </sheetData>
  <sheetProtection algorithmName="SHA-512" hashValue="uDAfBTEkIu5v68saGBDRO1QXK2hfRc6CIiRfXRUZLJ+UExWsQtlgJgBnX7EuqU+Koa07dOeWbAzj6t0u2mCM6g==" saltValue="xQATYVjET8/+N9Rp/l/5lA==" spinCount="100000" sheet="1" objects="1" scenarios="1" selectLockedCells="1"/>
  <mergeCells count="33">
    <mergeCell ref="B2:D2"/>
    <mergeCell ref="L2:N2"/>
    <mergeCell ref="E2:K2"/>
    <mergeCell ref="L60:N61"/>
    <mergeCell ref="B60:H60"/>
    <mergeCell ref="L33:N33"/>
    <mergeCell ref="L34:N35"/>
    <mergeCell ref="D31:F31"/>
    <mergeCell ref="D32:F32"/>
    <mergeCell ref="D33:F33"/>
    <mergeCell ref="D34:F35"/>
    <mergeCell ref="H31:J31"/>
    <mergeCell ref="H32:J32"/>
    <mergeCell ref="H33:J33"/>
    <mergeCell ref="H34:J35"/>
    <mergeCell ref="B29:H29"/>
    <mergeCell ref="B62:N63"/>
    <mergeCell ref="B37:N38"/>
    <mergeCell ref="B42:J44"/>
    <mergeCell ref="L42:N43"/>
    <mergeCell ref="L44:N44"/>
    <mergeCell ref="L51:N52"/>
    <mergeCell ref="B51:J53"/>
    <mergeCell ref="B58:N58"/>
    <mergeCell ref="B55:N56"/>
    <mergeCell ref="B46:N47"/>
    <mergeCell ref="B49:N49"/>
    <mergeCell ref="B40:N40"/>
    <mergeCell ref="B6:D25"/>
    <mergeCell ref="L31:N31"/>
    <mergeCell ref="L32:N32"/>
    <mergeCell ref="B4:N4"/>
    <mergeCell ref="B27:N27"/>
  </mergeCells>
  <conditionalFormatting sqref="B60:B63 B58 C58:K63 M58:N63 L58 L60:L63">
    <cfRule type="expression" dxfId="0" priority="1">
      <formula>$B$61="CORREDERA"</formula>
    </cfRule>
  </conditionalFormatting>
  <pageMargins left="0.86614173228346458" right="0.39370078740157483" top="0.39370078740157483" bottom="0.39370078740157483" header="0.31496062992125984" footer="0.31496062992125984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"/>
  <dimension ref="A1:AD63"/>
  <sheetViews>
    <sheetView showGridLines="0" showRowColHeaders="0" showRuler="0" view="pageLayout" workbookViewId="0"/>
  </sheetViews>
  <sheetFormatPr baseColWidth="10" defaultColWidth="11.42578125" defaultRowHeight="15"/>
  <cols>
    <col min="1" max="1" width="0.85546875" customWidth="1"/>
    <col min="2" max="2" width="11.42578125" customWidth="1"/>
    <col min="3" max="3" width="0.85546875" customWidth="1"/>
    <col min="4" max="4" width="11.42578125" customWidth="1"/>
    <col min="5" max="5" width="0.85546875" customWidth="1"/>
    <col min="6" max="6" width="11.42578125" customWidth="1"/>
    <col min="7" max="7" width="0.85546875" customWidth="1"/>
    <col min="8" max="8" width="11.42578125" customWidth="1"/>
    <col min="9" max="9" width="0.85546875" customWidth="1"/>
    <col min="10" max="10" width="11.42578125" customWidth="1"/>
    <col min="11" max="11" width="0.85546875" customWidth="1"/>
    <col min="13" max="13" width="0.85546875" customWidth="1"/>
    <col min="14" max="14" width="11.42578125" customWidth="1"/>
    <col min="15" max="15" width="0.85546875" customWidth="1"/>
  </cols>
  <sheetData>
    <row r="1" spans="1:30" ht="8.4499999999999993" customHeight="1"/>
    <row r="2" spans="1:30" ht="25.5" customHeight="1">
      <c r="A2" s="131"/>
      <c r="B2" s="613" t="s">
        <v>601</v>
      </c>
      <c r="C2" s="613"/>
      <c r="D2" s="613"/>
      <c r="E2" s="498"/>
      <c r="F2" s="612" t="s">
        <v>602</v>
      </c>
      <c r="G2" s="612"/>
      <c r="H2" s="612"/>
      <c r="I2" s="612"/>
      <c r="J2" s="612"/>
      <c r="K2" s="498"/>
      <c r="L2" s="614" t="s">
        <v>21</v>
      </c>
      <c r="M2" s="614"/>
      <c r="N2" s="614"/>
      <c r="O2" s="459"/>
      <c r="P2" s="459"/>
      <c r="Q2" s="103"/>
      <c r="R2" s="103"/>
      <c r="S2" s="103"/>
      <c r="T2" s="103"/>
      <c r="U2" s="103"/>
      <c r="V2" s="459"/>
      <c r="W2" s="459"/>
      <c r="X2" s="459"/>
      <c r="Y2" s="459"/>
      <c r="Z2" s="459"/>
      <c r="AA2" s="322"/>
      <c r="AB2" s="322"/>
      <c r="AC2" s="322"/>
      <c r="AD2" s="322"/>
    </row>
    <row r="3" spans="1:30" ht="8.4499999999999993" customHeight="1">
      <c r="A3" s="131"/>
      <c r="E3" s="460"/>
      <c r="F3" s="460"/>
      <c r="G3" s="461"/>
      <c r="H3" s="461"/>
      <c r="I3" s="461"/>
      <c r="J3" s="461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</row>
    <row r="4" spans="1:30" ht="12.75" customHeight="1">
      <c r="A4" s="131"/>
      <c r="B4" s="652" t="s">
        <v>243</v>
      </c>
      <c r="C4" s="653"/>
      <c r="D4" s="653"/>
      <c r="E4" s="653"/>
      <c r="F4" s="653"/>
      <c r="G4" s="653"/>
      <c r="H4" s="653"/>
      <c r="I4" s="653"/>
      <c r="J4" s="653"/>
      <c r="K4" s="653"/>
      <c r="L4" s="653"/>
      <c r="M4" s="653"/>
      <c r="N4" s="654"/>
      <c r="O4" s="131"/>
    </row>
    <row r="5" spans="1:30" s="103" customFormat="1" ht="12" customHeight="1">
      <c r="A5" s="134"/>
      <c r="B5" s="137" t="s">
        <v>259</v>
      </c>
      <c r="C5" s="134"/>
      <c r="D5" s="134"/>
      <c r="E5" s="131"/>
      <c r="F5" s="137" t="s">
        <v>398</v>
      </c>
      <c r="G5" s="131"/>
      <c r="H5" s="131"/>
      <c r="I5" s="131"/>
      <c r="J5" s="131"/>
      <c r="K5" s="131"/>
      <c r="L5" s="131"/>
      <c r="M5" s="131"/>
      <c r="N5" s="131"/>
      <c r="O5" s="134"/>
    </row>
    <row r="6" spans="1:30" s="104" customFormat="1" ht="12.95" customHeight="1">
      <c r="A6" s="135"/>
      <c r="B6" s="675" t="str">
        <f>'FICHA TECNICA'!B6</f>
        <v/>
      </c>
      <c r="C6" s="675"/>
      <c r="D6" s="675"/>
      <c r="E6" s="131"/>
      <c r="F6" s="669" t="str">
        <f>'FICHA TECNICA'!D34&amp;"     "&amp;'FICHA TECNICA'!H34&amp;"     "&amp;'FICHA TECNICA'!L34</f>
        <v xml:space="preserve">          </v>
      </c>
      <c r="G6" s="670"/>
      <c r="H6" s="671"/>
      <c r="I6" s="131"/>
      <c r="J6" s="131"/>
      <c r="K6" s="131"/>
      <c r="L6" s="131"/>
      <c r="M6" s="131"/>
      <c r="N6" s="131"/>
      <c r="O6" s="135"/>
    </row>
    <row r="7" spans="1:30" ht="12" customHeight="1">
      <c r="A7" s="131"/>
      <c r="B7" s="675"/>
      <c r="C7" s="675"/>
      <c r="D7" s="675"/>
      <c r="E7" s="131"/>
      <c r="F7" s="672"/>
      <c r="G7" s="673"/>
      <c r="H7" s="674"/>
      <c r="I7" s="131"/>
      <c r="J7" s="131"/>
      <c r="K7" s="131"/>
      <c r="L7" s="131"/>
      <c r="M7" s="131"/>
      <c r="N7" s="131"/>
      <c r="O7" s="131"/>
    </row>
    <row r="8" spans="1:30" ht="12" customHeight="1">
      <c r="A8" s="131"/>
      <c r="B8" s="675"/>
      <c r="C8" s="675"/>
      <c r="D8" s="675"/>
      <c r="E8" s="131"/>
      <c r="F8" s="137" t="s">
        <v>407</v>
      </c>
      <c r="G8" s="131"/>
      <c r="H8" s="131"/>
      <c r="I8" s="131"/>
      <c r="J8" s="131"/>
      <c r="K8" s="131"/>
      <c r="L8" s="131"/>
      <c r="M8" s="131"/>
      <c r="N8" s="131"/>
      <c r="O8" s="131"/>
    </row>
    <row r="9" spans="1:30" ht="12" customHeight="1">
      <c r="A9" s="131"/>
      <c r="B9" s="675"/>
      <c r="C9" s="675"/>
      <c r="D9" s="675"/>
      <c r="E9" s="131"/>
      <c r="F9" s="676" t="e">
        <f>'FICHA TECNICA'!L42</f>
        <v>#N/A</v>
      </c>
      <c r="G9" s="415"/>
      <c r="H9" s="678" t="s">
        <v>124</v>
      </c>
      <c r="I9" s="131"/>
      <c r="J9" s="131"/>
      <c r="K9" s="131"/>
      <c r="L9" s="131"/>
      <c r="M9" s="131"/>
      <c r="N9" s="131"/>
      <c r="O9" s="131"/>
    </row>
    <row r="10" spans="1:30" ht="12" customHeight="1">
      <c r="A10" s="131"/>
      <c r="B10" s="675"/>
      <c r="C10" s="675"/>
      <c r="D10" s="675"/>
      <c r="E10" s="131"/>
      <c r="F10" s="677"/>
      <c r="G10" s="416"/>
      <c r="H10" s="679"/>
      <c r="I10" s="131"/>
      <c r="J10" s="131"/>
      <c r="K10" s="131"/>
      <c r="L10" s="131"/>
      <c r="M10" s="131"/>
      <c r="N10" s="131"/>
      <c r="O10" s="131"/>
    </row>
    <row r="11" spans="1:30" ht="12" customHeight="1">
      <c r="A11" s="131"/>
      <c r="B11" s="675"/>
      <c r="C11" s="675"/>
      <c r="D11" s="675"/>
      <c r="E11" s="131"/>
      <c r="F11" s="137" t="s">
        <v>399</v>
      </c>
      <c r="G11" s="131"/>
      <c r="H11" s="131"/>
      <c r="I11" s="131"/>
      <c r="J11" s="131"/>
      <c r="K11" s="131"/>
      <c r="L11" s="131"/>
      <c r="M11" s="131"/>
      <c r="N11" s="131"/>
      <c r="O11" s="131"/>
    </row>
    <row r="12" spans="1:30" ht="12" customHeight="1">
      <c r="A12" s="131"/>
      <c r="B12" s="675"/>
      <c r="C12" s="675"/>
      <c r="D12" s="675"/>
      <c r="E12" s="131"/>
      <c r="F12" s="669" t="str">
        <f>'FICHA TECNICA'!L51</f>
        <v/>
      </c>
      <c r="G12" s="670"/>
      <c r="H12" s="671"/>
      <c r="I12" s="131"/>
      <c r="J12" s="131"/>
      <c r="K12" s="131"/>
      <c r="L12" s="131"/>
      <c r="M12" s="131"/>
      <c r="N12" s="131"/>
      <c r="O12" s="131"/>
    </row>
    <row r="13" spans="1:30" ht="12" customHeight="1">
      <c r="A13" s="131"/>
      <c r="B13" s="675"/>
      <c r="C13" s="675"/>
      <c r="D13" s="675"/>
      <c r="E13" s="131"/>
      <c r="F13" s="672"/>
      <c r="G13" s="673"/>
      <c r="H13" s="674"/>
      <c r="I13" s="131"/>
      <c r="J13" s="131"/>
      <c r="K13" s="131"/>
      <c r="L13" s="131"/>
      <c r="M13" s="131"/>
      <c r="N13" s="131"/>
      <c r="O13" s="131"/>
    </row>
    <row r="14" spans="1:30" ht="11.85" customHeight="1">
      <c r="A14" s="131"/>
      <c r="B14" s="675"/>
      <c r="C14" s="675"/>
      <c r="D14" s="675"/>
      <c r="E14" s="131"/>
      <c r="F14" s="137" t="s">
        <v>406</v>
      </c>
      <c r="G14" s="131"/>
      <c r="H14" s="133"/>
      <c r="I14" s="131"/>
      <c r="J14" s="131"/>
      <c r="K14" s="131"/>
      <c r="L14" s="131"/>
      <c r="M14" s="131"/>
      <c r="N14" s="131"/>
      <c r="O14" s="131"/>
    </row>
    <row r="15" spans="1:30" ht="11.85" customHeight="1">
      <c r="A15" s="131"/>
      <c r="B15" s="675"/>
      <c r="C15" s="675"/>
      <c r="D15" s="675"/>
      <c r="E15" s="131"/>
      <c r="F15" s="676" t="e">
        <f>C.T.E.!F47</f>
        <v>#N/A</v>
      </c>
      <c r="G15" s="415"/>
      <c r="H15" s="678" t="s">
        <v>408</v>
      </c>
      <c r="I15" s="131"/>
      <c r="J15" s="131"/>
      <c r="K15" s="131"/>
      <c r="L15" s="131"/>
      <c r="M15" s="131"/>
      <c r="N15" s="131"/>
      <c r="O15" s="131"/>
    </row>
    <row r="16" spans="1:30" ht="11.85" customHeight="1">
      <c r="A16" s="131"/>
      <c r="B16" s="675"/>
      <c r="C16" s="675"/>
      <c r="D16" s="675"/>
      <c r="E16" s="131"/>
      <c r="F16" s="677"/>
      <c r="G16" s="416"/>
      <c r="H16" s="679"/>
      <c r="I16" s="131"/>
      <c r="J16" s="131"/>
      <c r="K16" s="131"/>
      <c r="L16" s="131"/>
      <c r="M16" s="131"/>
      <c r="N16" s="131"/>
      <c r="O16" s="131"/>
    </row>
    <row r="17" spans="1:16" ht="11.85" customHeight="1">
      <c r="A17" s="131"/>
      <c r="B17" s="675"/>
      <c r="C17" s="675"/>
      <c r="D17" s="675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</row>
    <row r="18" spans="1:16" ht="8.4499999999999993" customHeight="1">
      <c r="A18" s="131"/>
      <c r="B18" s="131"/>
      <c r="C18" s="131"/>
      <c r="D18" s="131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</row>
    <row r="19" spans="1:16" ht="12.75" customHeight="1">
      <c r="A19" s="131"/>
      <c r="B19" s="652" t="s">
        <v>400</v>
      </c>
      <c r="C19" s="653"/>
      <c r="D19" s="653"/>
      <c r="E19" s="653"/>
      <c r="F19" s="653"/>
      <c r="G19" s="653"/>
      <c r="H19" s="653"/>
      <c r="I19" s="653"/>
      <c r="J19" s="653"/>
      <c r="K19" s="653"/>
      <c r="L19" s="653"/>
      <c r="M19" s="653"/>
      <c r="N19" s="654"/>
      <c r="O19" s="131"/>
    </row>
    <row r="20" spans="1:16" ht="11.85" customHeight="1">
      <c r="A20" s="131"/>
      <c r="B20" s="137" t="s">
        <v>401</v>
      </c>
      <c r="C20" s="417"/>
      <c r="D20" s="137" t="s">
        <v>402</v>
      </c>
      <c r="E20" s="417"/>
      <c r="F20" s="137" t="s">
        <v>403</v>
      </c>
      <c r="G20" s="417"/>
      <c r="H20" s="137" t="s">
        <v>404</v>
      </c>
      <c r="I20" s="417"/>
      <c r="J20" s="137" t="s">
        <v>453</v>
      </c>
      <c r="K20" s="417"/>
      <c r="L20" s="137" t="s">
        <v>405</v>
      </c>
      <c r="M20" s="131"/>
      <c r="N20" s="131"/>
      <c r="O20" s="131"/>
    </row>
    <row r="21" spans="1:16" ht="15" customHeight="1">
      <c r="A21" s="131"/>
      <c r="B21" s="418">
        <f>FORMULARIO!U11</f>
        <v>0</v>
      </c>
      <c r="C21" s="131"/>
      <c r="D21" s="418" t="str">
        <f>IF(B6="","",VLOOKUP(B21,GRADOS!A4:K64,11,FALSE))</f>
        <v/>
      </c>
      <c r="E21" s="131"/>
      <c r="F21" s="418">
        <f>FORMULARIO!U13</f>
        <v>0</v>
      </c>
      <c r="G21" s="131"/>
      <c r="H21" s="418">
        <f>FORMULARIO!W13</f>
        <v>0</v>
      </c>
      <c r="I21" s="131"/>
      <c r="J21" s="418" t="str">
        <f>IF(B6="","",H21-F21)</f>
        <v/>
      </c>
      <c r="K21" s="131"/>
      <c r="L21" s="418">
        <f>FORMULARIO!Y13</f>
        <v>0</v>
      </c>
      <c r="M21" s="131"/>
      <c r="N21" s="131"/>
      <c r="O21" s="131"/>
    </row>
    <row r="22" spans="1:16" ht="11.85" customHeight="1">
      <c r="A22" s="131"/>
      <c r="B22" s="137" t="s">
        <v>431</v>
      </c>
      <c r="C22" s="131"/>
      <c r="D22" s="131"/>
      <c r="E22" s="131"/>
      <c r="F22" s="131"/>
      <c r="G22" s="131"/>
      <c r="H22" s="131"/>
      <c r="I22" s="131"/>
      <c r="J22" s="131"/>
      <c r="K22" s="131"/>
      <c r="L22" s="131"/>
      <c r="M22" s="131"/>
      <c r="N22" s="131"/>
      <c r="O22" s="131"/>
    </row>
    <row r="23" spans="1:16" ht="8.4499999999999993" customHeight="1">
      <c r="A23" s="131"/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</row>
    <row r="24" spans="1:16" ht="11.85" customHeight="1">
      <c r="A24" s="131"/>
      <c r="B24" s="652" t="s">
        <v>432</v>
      </c>
      <c r="C24" s="653"/>
      <c r="D24" s="653"/>
      <c r="E24" s="653"/>
      <c r="F24" s="653"/>
      <c r="G24" s="653"/>
      <c r="H24" s="653"/>
      <c r="I24" s="653"/>
      <c r="J24" s="653"/>
      <c r="K24" s="653"/>
      <c r="L24" s="653"/>
      <c r="M24" s="653"/>
      <c r="N24" s="654"/>
      <c r="O24" s="131"/>
    </row>
    <row r="25" spans="1:16" ht="11.85" customHeight="1">
      <c r="A25" s="131"/>
      <c r="B25" s="131"/>
      <c r="C25" s="131"/>
      <c r="D25" s="137" t="s">
        <v>423</v>
      </c>
      <c r="E25" s="131"/>
      <c r="F25" s="131"/>
      <c r="G25" s="131"/>
      <c r="H25" s="419"/>
      <c r="I25" s="419"/>
      <c r="J25" s="137" t="s">
        <v>417</v>
      </c>
      <c r="K25" s="131"/>
      <c r="L25" s="131"/>
      <c r="M25" s="131"/>
      <c r="N25" s="131"/>
      <c r="O25" s="131"/>
    </row>
    <row r="26" spans="1:16" ht="15" customHeight="1">
      <c r="A26" s="131"/>
      <c r="B26" s="420" t="s">
        <v>452</v>
      </c>
      <c r="C26" s="133"/>
      <c r="D26" s="421" t="str">
        <f>IF(B6="","",F15*F9*$J$21)</f>
        <v/>
      </c>
      <c r="E26" s="422"/>
      <c r="F26" s="423" t="s">
        <v>409</v>
      </c>
      <c r="G26" s="131"/>
      <c r="H26" s="420" t="s">
        <v>416</v>
      </c>
      <c r="I26" s="133"/>
      <c r="J26" s="421" t="str">
        <f>IF(B6="","",D28/1000)</f>
        <v/>
      </c>
      <c r="K26" s="422"/>
      <c r="L26" s="423" t="s">
        <v>418</v>
      </c>
      <c r="M26" s="131"/>
      <c r="N26" s="131"/>
      <c r="O26" s="131"/>
    </row>
    <row r="27" spans="1:16" ht="11.85" customHeight="1">
      <c r="A27" s="131"/>
      <c r="B27" s="419"/>
      <c r="C27" s="419"/>
      <c r="D27" s="137" t="s">
        <v>411</v>
      </c>
      <c r="E27" s="131"/>
      <c r="F27" s="131"/>
      <c r="G27" s="131"/>
      <c r="H27" s="419"/>
      <c r="I27" s="419"/>
      <c r="J27" s="137" t="s">
        <v>419</v>
      </c>
      <c r="K27" s="131"/>
      <c r="L27" s="131"/>
      <c r="M27" s="131"/>
      <c r="N27" s="131"/>
      <c r="O27" s="131"/>
    </row>
    <row r="28" spans="1:16" ht="15" customHeight="1">
      <c r="A28" s="131"/>
      <c r="B28" s="420" t="s">
        <v>451</v>
      </c>
      <c r="C28" s="133"/>
      <c r="D28" s="421" t="str">
        <f>IF(B6="","",((24*(D26/1000)*D21)/J21))</f>
        <v/>
      </c>
      <c r="E28" s="422"/>
      <c r="F28" s="423" t="s">
        <v>410</v>
      </c>
      <c r="G28" s="131"/>
      <c r="H28" s="667" t="s">
        <v>421</v>
      </c>
      <c r="I28" s="133"/>
      <c r="J28" s="664" t="str">
        <f>IF(B6="","",J26*0.0861)</f>
        <v/>
      </c>
      <c r="K28" s="424"/>
      <c r="L28" s="666" t="s">
        <v>420</v>
      </c>
      <c r="M28" s="131"/>
      <c r="N28" s="131"/>
      <c r="O28" s="131"/>
    </row>
    <row r="29" spans="1:16" ht="11.85" customHeight="1">
      <c r="A29" s="131"/>
      <c r="B29" s="419"/>
      <c r="C29" s="419"/>
      <c r="D29" s="137" t="s">
        <v>412</v>
      </c>
      <c r="E29" s="131"/>
      <c r="F29" s="131"/>
      <c r="G29" s="131"/>
      <c r="H29" s="667"/>
      <c r="I29" s="131"/>
      <c r="J29" s="665"/>
      <c r="K29" s="425"/>
      <c r="L29" s="666"/>
      <c r="M29" s="131"/>
      <c r="N29" s="131"/>
      <c r="O29" s="131"/>
    </row>
    <row r="30" spans="1:16" ht="15" customHeight="1">
      <c r="A30" s="131"/>
      <c r="B30" s="420" t="s">
        <v>589</v>
      </c>
      <c r="C30" s="133"/>
      <c r="D30" s="421" t="str">
        <f>IF(B6="","",D28/10.58)</f>
        <v/>
      </c>
      <c r="E30" s="422"/>
      <c r="F30" s="423" t="s">
        <v>413</v>
      </c>
      <c r="G30" s="131"/>
      <c r="H30" s="680" t="s">
        <v>424</v>
      </c>
      <c r="I30" s="680"/>
      <c r="J30" s="680"/>
      <c r="K30" s="680"/>
      <c r="L30" s="680"/>
      <c r="M30" s="680"/>
      <c r="N30" s="680"/>
      <c r="O30" s="131"/>
    </row>
    <row r="31" spans="1:16" ht="11.85" customHeight="1">
      <c r="A31" s="131"/>
      <c r="B31" s="419"/>
      <c r="C31" s="419"/>
      <c r="D31" s="137" t="s">
        <v>414</v>
      </c>
      <c r="E31" s="131"/>
      <c r="F31" s="131"/>
      <c r="G31" s="131"/>
      <c r="H31" s="680"/>
      <c r="I31" s="680"/>
      <c r="J31" s="680"/>
      <c r="K31" s="680"/>
      <c r="L31" s="680"/>
      <c r="M31" s="680"/>
      <c r="N31" s="680"/>
      <c r="O31" s="131"/>
    </row>
    <row r="32" spans="1:16" ht="15" customHeight="1">
      <c r="A32" s="131"/>
      <c r="B32" s="420" t="s">
        <v>597</v>
      </c>
      <c r="C32" s="133"/>
      <c r="D32" s="421" t="str">
        <f>IF(B6="","",D30*2.7)</f>
        <v/>
      </c>
      <c r="E32" s="422"/>
      <c r="F32" s="423" t="s">
        <v>415</v>
      </c>
      <c r="G32" s="131"/>
      <c r="H32" s="680"/>
      <c r="I32" s="680"/>
      <c r="J32" s="680"/>
      <c r="K32" s="680"/>
      <c r="L32" s="680"/>
      <c r="M32" s="680"/>
      <c r="N32" s="680"/>
      <c r="O32" s="131"/>
      <c r="P32" s="130"/>
    </row>
    <row r="33" spans="1:15" ht="8.4499999999999993" customHeight="1">
      <c r="A33" s="131"/>
      <c r="B33" s="131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</row>
    <row r="34" spans="1:15" ht="11.85" customHeight="1">
      <c r="A34" s="131"/>
      <c r="B34" s="652" t="str">
        <f>"Costes Anuales para las "&amp;L21&amp;" unidades del Modelo"</f>
        <v>Costes Anuales para las 0 unidades del Modelo</v>
      </c>
      <c r="C34" s="653"/>
      <c r="D34" s="653"/>
      <c r="E34" s="653"/>
      <c r="F34" s="653"/>
      <c r="G34" s="653"/>
      <c r="H34" s="653"/>
      <c r="I34" s="653"/>
      <c r="J34" s="653"/>
      <c r="K34" s="653"/>
      <c r="L34" s="653"/>
      <c r="M34" s="653"/>
      <c r="N34" s="654"/>
      <c r="O34" s="131"/>
    </row>
    <row r="35" spans="1:15" ht="12.75" customHeight="1">
      <c r="A35" s="131"/>
      <c r="B35" s="668" t="str">
        <f>"Suponiendo que en nuestra vivienda tenemos "&amp;L21&amp;" unidades del Modelo a estudio, las mismas producen las siguientes pérdidas Anuales:"</f>
        <v>Suponiendo que en nuestra vivienda tenemos 0 unidades del Modelo a estudio, las mismas producen las siguientes pérdidas Anuales:</v>
      </c>
      <c r="C35" s="668"/>
      <c r="D35" s="668"/>
      <c r="E35" s="668"/>
      <c r="F35" s="668"/>
      <c r="G35" s="668"/>
      <c r="H35" s="668"/>
      <c r="I35" s="668"/>
      <c r="J35" s="668"/>
      <c r="K35" s="668"/>
      <c r="L35" s="668"/>
      <c r="M35" s="668"/>
      <c r="N35" s="668"/>
      <c r="O35" s="131"/>
    </row>
    <row r="36" spans="1:15" ht="11.85" customHeight="1">
      <c r="A36" s="131"/>
      <c r="B36" s="426"/>
      <c r="C36" s="426"/>
      <c r="D36" s="426"/>
      <c r="E36" s="426"/>
      <c r="F36" s="426"/>
      <c r="G36" s="426"/>
      <c r="H36" s="426"/>
      <c r="I36" s="426"/>
      <c r="J36" s="426"/>
      <c r="K36" s="426"/>
      <c r="L36" s="426"/>
      <c r="M36" s="426"/>
      <c r="N36" s="426"/>
      <c r="O36" s="131"/>
    </row>
    <row r="37" spans="1:15" ht="11.85" customHeight="1">
      <c r="A37" s="131"/>
      <c r="B37" s="137" t="s">
        <v>454</v>
      </c>
      <c r="C37" s="131"/>
      <c r="D37" s="131"/>
      <c r="E37" s="427"/>
      <c r="F37" s="137" t="s">
        <v>455</v>
      </c>
      <c r="G37" s="131"/>
      <c r="H37" s="131"/>
      <c r="I37" s="131"/>
      <c r="J37" s="131"/>
      <c r="K37" s="131"/>
      <c r="O37" s="131"/>
    </row>
    <row r="38" spans="1:15" ht="15.75">
      <c r="A38" s="131"/>
      <c r="B38" s="421" t="str">
        <f>IF(B6="","",D28*L21)</f>
        <v/>
      </c>
      <c r="C38" s="422"/>
      <c r="D38" s="423" t="s">
        <v>410</v>
      </c>
      <c r="E38" s="131"/>
      <c r="F38" s="428" t="str">
        <f>IF(B6="","",D28*0.14*L21)</f>
        <v/>
      </c>
      <c r="G38" s="424"/>
      <c r="H38" s="429" t="s">
        <v>422</v>
      </c>
      <c r="I38" s="131"/>
      <c r="J38" s="131"/>
      <c r="K38" s="131"/>
      <c r="O38" s="131"/>
    </row>
    <row r="39" spans="1:15" ht="11.85" customHeight="1">
      <c r="A39" s="131"/>
      <c r="B39" s="137" t="s">
        <v>412</v>
      </c>
      <c r="C39" s="131"/>
      <c r="D39" s="131"/>
      <c r="E39" s="131"/>
      <c r="F39" s="137" t="s">
        <v>425</v>
      </c>
      <c r="G39" s="131"/>
      <c r="H39" s="131"/>
      <c r="I39" s="131"/>
      <c r="J39" s="131"/>
      <c r="K39" s="131"/>
      <c r="O39" s="131"/>
    </row>
    <row r="40" spans="1:15" ht="15.75">
      <c r="A40" s="131"/>
      <c r="B40" s="421" t="str">
        <f>IF(B6="","",D30*L21)</f>
        <v/>
      </c>
      <c r="C40" s="422"/>
      <c r="D40" s="423" t="s">
        <v>413</v>
      </c>
      <c r="E40" s="131"/>
      <c r="F40" s="428" t="str">
        <f>IF(B6="","",D30*0.8*L21)</f>
        <v/>
      </c>
      <c r="G40" s="424"/>
      <c r="H40" s="429" t="s">
        <v>422</v>
      </c>
      <c r="I40" s="131"/>
      <c r="J40" s="430"/>
      <c r="K40" s="131"/>
      <c r="O40" s="131"/>
    </row>
    <row r="41" spans="1:15" ht="8.4499999999999993" customHeight="1">
      <c r="A41" s="131"/>
      <c r="B41" s="131"/>
      <c r="C41" s="131"/>
      <c r="D41" s="131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</row>
    <row r="42" spans="1:15" ht="11.85" customHeight="1">
      <c r="A42" s="131"/>
      <c r="B42" s="652" t="str">
        <f>"Ahorro de Costes Anuales por sustitución en Rehabilitación de las "&amp;L21&amp;" unidades del Modelo"</f>
        <v>Ahorro de Costes Anuales por sustitución en Rehabilitación de las 0 unidades del Modelo</v>
      </c>
      <c r="C42" s="653"/>
      <c r="D42" s="653"/>
      <c r="E42" s="653"/>
      <c r="F42" s="653"/>
      <c r="G42" s="653"/>
      <c r="H42" s="653"/>
      <c r="I42" s="653"/>
      <c r="J42" s="653"/>
      <c r="K42" s="653"/>
      <c r="L42" s="653"/>
      <c r="M42" s="653"/>
      <c r="N42" s="654"/>
      <c r="O42" s="131"/>
    </row>
    <row r="43" spans="1:15" ht="8.4499999999999993" customHeight="1">
      <c r="A43" s="131"/>
      <c r="B43" s="131"/>
      <c r="C43" s="131"/>
      <c r="D43" s="4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</row>
    <row r="44" spans="1:15">
      <c r="A44" s="131"/>
      <c r="B44" s="661" t="s">
        <v>594</v>
      </c>
      <c r="C44" s="662"/>
      <c r="D44" s="663"/>
      <c r="E44" s="131"/>
      <c r="F44" s="655" t="s">
        <v>595</v>
      </c>
      <c r="G44" s="656"/>
      <c r="H44" s="657"/>
      <c r="I44" s="131"/>
      <c r="J44" s="655" t="str">
        <f>"Ventana  " &amp;FORMULARIO!U18</f>
        <v xml:space="preserve">Ventana  </v>
      </c>
      <c r="K44" s="656"/>
      <c r="L44" s="657"/>
      <c r="M44" s="131"/>
      <c r="N44" s="131"/>
      <c r="O44" s="131"/>
    </row>
    <row r="45" spans="1:15" ht="11.25" customHeight="1">
      <c r="A45" s="131"/>
      <c r="B45" s="658" t="str">
        <f>FORMULARIO!U25&amp;" sin cajón de persiana"</f>
        <v xml:space="preserve"> sin cajón de persiana</v>
      </c>
      <c r="C45" s="659"/>
      <c r="D45" s="660"/>
      <c r="E45" s="131"/>
      <c r="F45" s="658" t="str">
        <f>FORMULARIO!U25&amp;" sin cajón de persiana"</f>
        <v xml:space="preserve"> sin cajón de persiana</v>
      </c>
      <c r="G45" s="659"/>
      <c r="H45" s="660"/>
      <c r="I45" s="131"/>
      <c r="J45" s="658" t="str">
        <f>FORMULARIO!U25&amp;IF(FORMULARIO!U27="Sin cajón",""," con "&amp;FORMULARIO!U27)&amp;" con"</f>
        <v xml:space="preserve"> con  con</v>
      </c>
      <c r="K45" s="659"/>
      <c r="L45" s="660"/>
      <c r="M45" s="131"/>
      <c r="N45" s="131"/>
      <c r="O45" s="131"/>
    </row>
    <row r="46" spans="1:15" ht="11.25" customHeight="1">
      <c r="A46" s="131"/>
      <c r="B46" s="648" t="s">
        <v>426</v>
      </c>
      <c r="C46" s="649"/>
      <c r="D46" s="650"/>
      <c r="E46" s="131"/>
      <c r="F46" s="648" t="s">
        <v>426</v>
      </c>
      <c r="G46" s="649"/>
      <c r="H46" s="650"/>
      <c r="I46" s="131"/>
      <c r="J46" s="648" t="str">
        <f>FORMULARIO!D44&amp;" "&amp;FORMULARIO!H44</f>
        <v xml:space="preserve"> </v>
      </c>
      <c r="K46" s="649"/>
      <c r="L46" s="650"/>
      <c r="M46" s="131"/>
      <c r="N46" s="131"/>
      <c r="O46" s="131"/>
    </row>
    <row r="47" spans="1:15" ht="14.1" customHeight="1">
      <c r="A47" s="131"/>
      <c r="B47" s="432" t="s">
        <v>429</v>
      </c>
      <c r="C47" s="433"/>
      <c r="D47" s="492">
        <v>5.34</v>
      </c>
      <c r="E47" s="131"/>
      <c r="F47" s="432" t="s">
        <v>429</v>
      </c>
      <c r="G47" s="433"/>
      <c r="H47" s="492">
        <v>4.12</v>
      </c>
      <c r="I47" s="131"/>
      <c r="J47" s="432" t="s">
        <v>429</v>
      </c>
      <c r="K47" s="433"/>
      <c r="L47" s="492" t="e">
        <f>F9</f>
        <v>#N/A</v>
      </c>
      <c r="M47" s="131"/>
      <c r="N47" s="131"/>
      <c r="O47" s="131"/>
    </row>
    <row r="48" spans="1:15" ht="14.1" customHeight="1">
      <c r="A48" s="131"/>
      <c r="B48" s="434" t="s">
        <v>428</v>
      </c>
      <c r="C48" s="132"/>
      <c r="D48" s="493" t="e">
        <f>D47*$F$15*$J$21</f>
        <v>#N/A</v>
      </c>
      <c r="E48" s="131"/>
      <c r="F48" s="434" t="s">
        <v>428</v>
      </c>
      <c r="G48" s="132"/>
      <c r="H48" s="493" t="e">
        <f>H47*$F$15*$J$21</f>
        <v>#N/A</v>
      </c>
      <c r="I48" s="131"/>
      <c r="J48" s="434" t="s">
        <v>428</v>
      </c>
      <c r="K48" s="132"/>
      <c r="L48" s="493" t="e">
        <f>L47*$F$15*$J$21</f>
        <v>#N/A</v>
      </c>
      <c r="M48" s="131"/>
      <c r="N48" s="131"/>
      <c r="O48" s="131"/>
    </row>
    <row r="49" spans="1:15" ht="14.1" customHeight="1">
      <c r="A49" s="131"/>
      <c r="B49" s="434" t="s">
        <v>427</v>
      </c>
      <c r="C49" s="132"/>
      <c r="D49" s="493" t="e">
        <f>((24*(D48/1000)*$D$21)/$J$21)</f>
        <v>#N/A</v>
      </c>
      <c r="E49" s="131"/>
      <c r="F49" s="434" t="s">
        <v>427</v>
      </c>
      <c r="G49" s="132"/>
      <c r="H49" s="493" t="e">
        <f>((24*(H48/1000)*$D$21)/$J$21)</f>
        <v>#N/A</v>
      </c>
      <c r="I49" s="131"/>
      <c r="J49" s="434" t="s">
        <v>427</v>
      </c>
      <c r="K49" s="132"/>
      <c r="L49" s="493" t="e">
        <f>((24*(L48/1000)*$D$21)/$J$21)</f>
        <v>#N/A</v>
      </c>
      <c r="M49" s="131"/>
      <c r="N49" s="131"/>
      <c r="O49" s="131"/>
    </row>
    <row r="50" spans="1:15" ht="14.1" customHeight="1">
      <c r="A50" s="131"/>
      <c r="B50" s="434" t="str">
        <f>"(Qa) "&amp;L21&amp;" Vent. (KWh):"</f>
        <v>(Qa) 0 Vent. (KWh):</v>
      </c>
      <c r="C50" s="132"/>
      <c r="D50" s="493" t="e">
        <f>D49*$L$21</f>
        <v>#N/A</v>
      </c>
      <c r="E50" s="131"/>
      <c r="F50" s="434" t="str">
        <f>"(Qa) "&amp;L21&amp;" Vent. (KWh):"</f>
        <v>(Qa) 0 Vent. (KWh):</v>
      </c>
      <c r="G50" s="132"/>
      <c r="H50" s="493" t="e">
        <f>H49*$L$21</f>
        <v>#N/A</v>
      </c>
      <c r="I50" s="131"/>
      <c r="J50" s="434" t="str">
        <f>"(Qa) "&amp;L21&amp;" Vent. (KWh):"</f>
        <v>(Qa) 0 Vent. (KWh):</v>
      </c>
      <c r="K50" s="132"/>
      <c r="L50" s="493" t="e">
        <f>L49*$L$21</f>
        <v>#N/A</v>
      </c>
      <c r="M50" s="131"/>
      <c r="N50" s="131"/>
      <c r="O50" s="131"/>
    </row>
    <row r="51" spans="1:15" ht="14.1" customHeight="1">
      <c r="A51" s="131"/>
      <c r="B51" s="434" t="str">
        <f>"(Qa) "&amp;L21&amp;" Vent. (litros):"</f>
        <v>(Qa) 0 Vent. (litros):</v>
      </c>
      <c r="C51" s="132"/>
      <c r="D51" s="493" t="e">
        <f>(D49/10.58)*$L$21</f>
        <v>#N/A</v>
      </c>
      <c r="E51" s="131"/>
      <c r="F51" s="434" t="str">
        <f>"(Qa) "&amp;L21&amp;" Vent. (litros):"</f>
        <v>(Qa) 0 Vent. (litros):</v>
      </c>
      <c r="G51" s="132"/>
      <c r="H51" s="493" t="e">
        <f>(H49/10.58)*$L$21</f>
        <v>#N/A</v>
      </c>
      <c r="I51" s="131"/>
      <c r="J51" s="434" t="str">
        <f>"(Qa) "&amp;L21&amp;" Vent. (litros):"</f>
        <v>(Qa) 0 Vent. (litros):</v>
      </c>
      <c r="K51" s="132"/>
      <c r="L51" s="493" t="e">
        <f>(L49/10.58)*$L$21</f>
        <v>#N/A</v>
      </c>
      <c r="M51" s="131"/>
      <c r="N51" s="131"/>
      <c r="O51" s="131"/>
    </row>
    <row r="52" spans="1:15" ht="14.1" customHeight="1">
      <c r="A52" s="131"/>
      <c r="B52" s="435" t="str">
        <f>"Co2 "&amp;P21&amp;" Vent.:"</f>
        <v>Co2  Vent.:</v>
      </c>
      <c r="C52" s="436"/>
      <c r="D52" s="494" t="e">
        <f>D51*2.7</f>
        <v>#N/A</v>
      </c>
      <c r="E52" s="131"/>
      <c r="F52" s="435" t="str">
        <f>"Co2 "&amp;L21&amp;" Vent.:"</f>
        <v>Co2 0 Vent.:</v>
      </c>
      <c r="G52" s="436"/>
      <c r="H52" s="494" t="e">
        <f>H51*2.7</f>
        <v>#N/A</v>
      </c>
      <c r="I52" s="131"/>
      <c r="J52" s="435" t="str">
        <f>"Co2 "&amp;L21&amp;" Vent.:"</f>
        <v>Co2 0 Vent.:</v>
      </c>
      <c r="K52" s="436"/>
      <c r="L52" s="494" t="e">
        <f>L51*2.7</f>
        <v>#N/A</v>
      </c>
      <c r="M52" s="131"/>
      <c r="N52" s="131"/>
      <c r="O52" s="131"/>
    </row>
    <row r="53" spans="1:15" ht="12.75" customHeight="1">
      <c r="A53" s="131"/>
      <c r="B53" s="651" t="str">
        <f>"Coste Anual para "&amp;L21&amp;" ventanas:"</f>
        <v>Coste Anual para 0 ventanas:</v>
      </c>
      <c r="C53" s="651"/>
      <c r="D53" s="651"/>
      <c r="E53" s="417"/>
      <c r="F53" s="651" t="str">
        <f>"Coste Anual para "&amp;L21&amp;" ventanas:"</f>
        <v>Coste Anual para 0 ventanas:</v>
      </c>
      <c r="G53" s="651"/>
      <c r="H53" s="651"/>
      <c r="I53" s="417"/>
      <c r="J53" s="651" t="str">
        <f>"Coste Anual para "&amp;L21&amp;" ventanas:"</f>
        <v>Coste Anual para 0 ventanas:</v>
      </c>
      <c r="K53" s="651"/>
      <c r="L53" s="651"/>
      <c r="M53" s="131"/>
      <c r="N53" s="346"/>
      <c r="O53" s="131"/>
    </row>
    <row r="54" spans="1:15" ht="8.4499999999999993" customHeight="1">
      <c r="A54" s="131"/>
      <c r="B54" s="642" t="s">
        <v>598</v>
      </c>
      <c r="C54" s="437"/>
      <c r="D54" s="644" t="e">
        <f>D50*0.14</f>
        <v>#N/A</v>
      </c>
      <c r="E54" s="131"/>
      <c r="F54" s="642" t="s">
        <v>598</v>
      </c>
      <c r="G54" s="437"/>
      <c r="H54" s="644" t="e">
        <f>H50*0.14</f>
        <v>#N/A</v>
      </c>
      <c r="I54" s="131"/>
      <c r="J54" s="642" t="s">
        <v>598</v>
      </c>
      <c r="K54" s="437"/>
      <c r="L54" s="644" t="e">
        <f>L50*0.14</f>
        <v>#N/A</v>
      </c>
      <c r="M54" s="131"/>
      <c r="N54" s="346"/>
      <c r="O54" s="131"/>
    </row>
    <row r="55" spans="1:15" ht="8.4499999999999993" customHeight="1">
      <c r="A55" s="131"/>
      <c r="B55" s="643"/>
      <c r="C55" s="132"/>
      <c r="D55" s="645"/>
      <c r="E55" s="131"/>
      <c r="F55" s="643"/>
      <c r="G55" s="132"/>
      <c r="H55" s="645"/>
      <c r="I55" s="131"/>
      <c r="J55" s="643"/>
      <c r="K55" s="132"/>
      <c r="L55" s="645"/>
      <c r="M55" s="131"/>
      <c r="O55" s="131"/>
    </row>
    <row r="56" spans="1:15" ht="8.4499999999999993" customHeight="1">
      <c r="A56" s="131"/>
      <c r="B56" s="643" t="s">
        <v>599</v>
      </c>
      <c r="C56" s="132"/>
      <c r="D56" s="645" t="e">
        <f>D51*0.8</f>
        <v>#N/A</v>
      </c>
      <c r="E56" s="131"/>
      <c r="F56" s="643" t="s">
        <v>599</v>
      </c>
      <c r="G56" s="132"/>
      <c r="H56" s="645" t="e">
        <f>H51*0.8</f>
        <v>#N/A</v>
      </c>
      <c r="I56" s="131"/>
      <c r="J56" s="643" t="s">
        <v>599</v>
      </c>
      <c r="K56" s="132"/>
      <c r="L56" s="645" t="e">
        <f>L51*0.8</f>
        <v>#N/A</v>
      </c>
      <c r="M56" s="131"/>
      <c r="N56" s="346"/>
      <c r="O56" s="131"/>
    </row>
    <row r="57" spans="1:15" ht="8.4499999999999993" customHeight="1">
      <c r="A57" s="131"/>
      <c r="B57" s="646"/>
      <c r="C57" s="439"/>
      <c r="D57" s="647"/>
      <c r="E57" s="131"/>
      <c r="F57" s="646"/>
      <c r="G57" s="439"/>
      <c r="H57" s="647"/>
      <c r="I57" s="131"/>
      <c r="J57" s="646"/>
      <c r="K57" s="439"/>
      <c r="L57" s="647"/>
      <c r="M57" s="131"/>
      <c r="O57" s="131"/>
    </row>
    <row r="58" spans="1:15" ht="8.4499999999999993" customHeight="1">
      <c r="A58" s="131"/>
      <c r="B58" s="495"/>
      <c r="C58" s="355"/>
      <c r="D58" s="496"/>
      <c r="E58" s="497"/>
      <c r="F58" s="495"/>
      <c r="G58" s="355"/>
      <c r="H58" s="496"/>
      <c r="I58" s="497"/>
      <c r="J58" s="495"/>
      <c r="K58" s="355"/>
      <c r="L58" s="496"/>
      <c r="M58" s="131"/>
      <c r="O58" s="131"/>
    </row>
    <row r="59" spans="1:15">
      <c r="A59" s="131"/>
      <c r="B59" s="620" t="s">
        <v>593</v>
      </c>
      <c r="C59" s="620"/>
      <c r="D59" s="620"/>
      <c r="E59" s="620"/>
      <c r="F59" s="620"/>
      <c r="H59" s="620" t="s">
        <v>592</v>
      </c>
      <c r="I59" s="620"/>
      <c r="J59" s="620"/>
      <c r="K59" s="620"/>
      <c r="L59" s="620"/>
      <c r="O59" s="131"/>
    </row>
    <row r="60" spans="1:15">
      <c r="A60" s="131"/>
      <c r="B60" s="485" t="s">
        <v>590</v>
      </c>
      <c r="C60" s="433"/>
      <c r="D60" s="440" t="e">
        <f>D54-L54</f>
        <v>#N/A</v>
      </c>
      <c r="E60" s="433"/>
      <c r="F60" s="490" t="e">
        <f>"= "&amp;FIXED(D54,2)&amp;" - "&amp;FIXED(L54,2)</f>
        <v>#N/A</v>
      </c>
      <c r="H60" s="485" t="s">
        <v>590</v>
      </c>
      <c r="I60" s="433"/>
      <c r="J60" s="440" t="e">
        <f>H54-L54</f>
        <v>#N/A</v>
      </c>
      <c r="K60" s="433"/>
      <c r="L60" s="490" t="e">
        <f>"= "&amp;FIXED(H54,2)&amp;" - "&amp;FIXED(L54,2)</f>
        <v>#N/A</v>
      </c>
      <c r="O60" s="131"/>
    </row>
    <row r="61" spans="1:15" ht="15" customHeight="1">
      <c r="A61" s="131"/>
      <c r="B61" s="486" t="s">
        <v>591</v>
      </c>
      <c r="C61" s="132"/>
      <c r="D61" s="441" t="e">
        <f>D56-L56</f>
        <v>#N/A</v>
      </c>
      <c r="E61" s="132"/>
      <c r="F61" s="491" t="e">
        <f>"= "&amp;FIXED(D56,2)&amp;" - "&amp;FIXED(L56,2)</f>
        <v>#N/A</v>
      </c>
      <c r="H61" s="486" t="s">
        <v>591</v>
      </c>
      <c r="I61" s="132"/>
      <c r="J61" s="441" t="e">
        <f>H56-L56</f>
        <v>#N/A</v>
      </c>
      <c r="K61" s="132"/>
      <c r="L61" s="491" t="e">
        <f>"= "&amp;FIXED(H56,2)&amp;" - "&amp;FIXED(L56,2)</f>
        <v>#N/A</v>
      </c>
      <c r="O61" s="131"/>
    </row>
    <row r="62" spans="1:15">
      <c r="A62" s="131"/>
      <c r="B62" s="487" t="s">
        <v>596</v>
      </c>
      <c r="C62" s="488"/>
      <c r="D62" s="438" t="e">
        <f>1-(L54/D54)</f>
        <v>#N/A</v>
      </c>
      <c r="E62" s="436"/>
      <c r="F62" s="489"/>
      <c r="H62" s="487" t="s">
        <v>596</v>
      </c>
      <c r="I62" s="488"/>
      <c r="J62" s="438" t="e">
        <f>1-(L54/H54)</f>
        <v>#N/A</v>
      </c>
      <c r="K62" s="436"/>
      <c r="L62" s="489"/>
      <c r="O62" s="131"/>
    </row>
    <row r="63" spans="1:15">
      <c r="B63" s="442" t="s">
        <v>430</v>
      </c>
    </row>
  </sheetData>
  <sheetProtection selectLockedCells="1"/>
  <mergeCells count="46">
    <mergeCell ref="H59:L59"/>
    <mergeCell ref="B59:F59"/>
    <mergeCell ref="B2:D2"/>
    <mergeCell ref="L2:N2"/>
    <mergeCell ref="F2:J2"/>
    <mergeCell ref="F6:H7"/>
    <mergeCell ref="F12:H13"/>
    <mergeCell ref="B6:D17"/>
    <mergeCell ref="B19:N19"/>
    <mergeCell ref="B4:N4"/>
    <mergeCell ref="B24:N24"/>
    <mergeCell ref="F9:F10"/>
    <mergeCell ref="H9:H10"/>
    <mergeCell ref="H15:H16"/>
    <mergeCell ref="F15:F16"/>
    <mergeCell ref="H30:N32"/>
    <mergeCell ref="B34:N34"/>
    <mergeCell ref="J28:J29"/>
    <mergeCell ref="L28:L29"/>
    <mergeCell ref="H28:H29"/>
    <mergeCell ref="B35:N35"/>
    <mergeCell ref="J46:L46"/>
    <mergeCell ref="F53:H53"/>
    <mergeCell ref="B53:D53"/>
    <mergeCell ref="J53:L53"/>
    <mergeCell ref="B42:N42"/>
    <mergeCell ref="F44:H44"/>
    <mergeCell ref="F45:H45"/>
    <mergeCell ref="B44:D44"/>
    <mergeCell ref="B45:D45"/>
    <mergeCell ref="J44:L44"/>
    <mergeCell ref="J45:L45"/>
    <mergeCell ref="B54:B55"/>
    <mergeCell ref="D54:D55"/>
    <mergeCell ref="B56:B57"/>
    <mergeCell ref="D56:D57"/>
    <mergeCell ref="F46:H46"/>
    <mergeCell ref="B46:D46"/>
    <mergeCell ref="J54:J55"/>
    <mergeCell ref="L54:L55"/>
    <mergeCell ref="J56:J57"/>
    <mergeCell ref="L56:L57"/>
    <mergeCell ref="F54:F55"/>
    <mergeCell ref="H54:H55"/>
    <mergeCell ref="F56:F57"/>
    <mergeCell ref="H56:H57"/>
  </mergeCells>
  <pageMargins left="0.86614173228346458" right="0.39370078740157483" top="0.39370078740157483" bottom="0.39370078740157483" header="0.31496062992125984" footer="0.31496062992125984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B1:P28"/>
  <sheetViews>
    <sheetView showRuler="0" view="pageLayout" workbookViewId="0">
      <selection activeCell="F14" sqref="F14"/>
    </sheetView>
  </sheetViews>
  <sheetFormatPr baseColWidth="10" defaultColWidth="11.42578125" defaultRowHeight="15"/>
  <cols>
    <col min="1" max="1" width="0.85546875" customWidth="1"/>
    <col min="2" max="2" width="11.7109375" customWidth="1"/>
    <col min="3" max="3" width="0.85546875" customWidth="1"/>
    <col min="4" max="4" width="11.7109375" customWidth="1"/>
    <col min="5" max="5" width="0.85546875" customWidth="1"/>
    <col min="6" max="6" width="11.7109375" customWidth="1"/>
    <col min="7" max="7" width="0.85546875" customWidth="1"/>
    <col min="8" max="8" width="11.7109375" customWidth="1"/>
    <col min="9" max="9" width="0.85546875" customWidth="1"/>
    <col min="10" max="10" width="11.7109375" customWidth="1"/>
    <col min="11" max="11" width="0.85546875" customWidth="1"/>
    <col min="12" max="12" width="11.7109375" customWidth="1"/>
    <col min="13" max="13" width="0.85546875" customWidth="1"/>
    <col min="14" max="14" width="11.7109375" customWidth="1"/>
    <col min="15" max="15" width="0.85546875" customWidth="1"/>
  </cols>
  <sheetData>
    <row r="1" spans="2:16" ht="23.25">
      <c r="F1" s="681" t="s">
        <v>21</v>
      </c>
      <c r="G1" s="681"/>
      <c r="H1" s="681"/>
      <c r="I1" s="681"/>
      <c r="J1" s="681"/>
    </row>
    <row r="2" spans="2:16" ht="15.75" customHeight="1">
      <c r="B2" s="682" t="s">
        <v>249</v>
      </c>
      <c r="C2" s="682"/>
      <c r="D2" s="682"/>
      <c r="E2" s="682"/>
      <c r="F2" s="682"/>
      <c r="G2" s="682"/>
      <c r="H2" s="682"/>
      <c r="I2" s="682"/>
      <c r="J2" s="682"/>
      <c r="K2" s="682"/>
      <c r="L2" s="682"/>
      <c r="M2" s="682"/>
      <c r="N2" s="682"/>
    </row>
    <row r="3" spans="2:16" ht="5.0999999999999996" customHeight="1">
      <c r="B3" s="8"/>
      <c r="C3" s="8"/>
      <c r="D3" s="8"/>
      <c r="H3" s="8"/>
      <c r="N3" s="8"/>
    </row>
    <row r="4" spans="2:16" ht="12.95" customHeight="1">
      <c r="B4" s="683" t="s">
        <v>225</v>
      </c>
      <c r="C4" s="684"/>
      <c r="D4" s="684"/>
      <c r="E4" s="684"/>
      <c r="F4" s="684"/>
      <c r="G4" s="684"/>
      <c r="H4" s="684"/>
      <c r="I4" s="684"/>
      <c r="J4" s="684"/>
      <c r="K4" s="684"/>
      <c r="L4" s="684"/>
      <c r="M4" s="684"/>
      <c r="N4" s="685"/>
    </row>
    <row r="5" spans="2:16" ht="12" customHeight="1">
      <c r="B5" s="9" t="s">
        <v>226</v>
      </c>
      <c r="D5" s="9" t="s">
        <v>227</v>
      </c>
      <c r="E5" s="8"/>
      <c r="F5" s="8"/>
      <c r="J5" s="9" t="s">
        <v>228</v>
      </c>
      <c r="L5" s="9" t="s">
        <v>24</v>
      </c>
    </row>
    <row r="6" spans="2:16" ht="12.95" customHeight="1">
      <c r="B6" s="686" t="s">
        <v>229</v>
      </c>
      <c r="D6" s="689" t="s">
        <v>230</v>
      </c>
      <c r="E6" s="690"/>
      <c r="F6" s="690"/>
      <c r="G6" s="690"/>
      <c r="H6" s="691"/>
      <c r="J6" s="100" t="s">
        <v>231</v>
      </c>
      <c r="L6" s="692">
        <v>37235</v>
      </c>
      <c r="M6" s="693"/>
      <c r="N6" s="694"/>
      <c r="P6" s="93"/>
    </row>
    <row r="7" spans="2:16" ht="12" customHeight="1">
      <c r="B7" s="687"/>
      <c r="D7" s="9" t="s">
        <v>232</v>
      </c>
      <c r="E7" s="8"/>
      <c r="F7" s="8"/>
      <c r="H7" s="9" t="s">
        <v>233</v>
      </c>
      <c r="J7" s="9" t="s">
        <v>234</v>
      </c>
      <c r="L7" s="9" t="s">
        <v>235</v>
      </c>
      <c r="N7" s="8"/>
    </row>
    <row r="8" spans="2:16" ht="12.95" customHeight="1">
      <c r="B8" s="687"/>
      <c r="D8" s="689" t="s">
        <v>236</v>
      </c>
      <c r="E8" s="690"/>
      <c r="F8" s="691"/>
      <c r="H8" s="101">
        <v>55555</v>
      </c>
      <c r="J8" s="100" t="s">
        <v>237</v>
      </c>
      <c r="L8" s="689" t="s">
        <v>238</v>
      </c>
      <c r="M8" s="690"/>
      <c r="N8" s="691"/>
    </row>
    <row r="9" spans="2:16" ht="12" customHeight="1">
      <c r="B9" s="687"/>
      <c r="D9" s="9" t="s">
        <v>239</v>
      </c>
      <c r="E9" s="102"/>
      <c r="F9" s="102"/>
      <c r="L9" s="9" t="s">
        <v>240</v>
      </c>
    </row>
    <row r="10" spans="2:16" ht="12.95" customHeight="1">
      <c r="B10" s="688"/>
      <c r="D10" s="689" t="s">
        <v>241</v>
      </c>
      <c r="E10" s="690"/>
      <c r="F10" s="690"/>
      <c r="G10" s="690"/>
      <c r="H10" s="690"/>
      <c r="I10" s="690"/>
      <c r="J10" s="691"/>
      <c r="L10" s="689" t="s">
        <v>242</v>
      </c>
      <c r="M10" s="690"/>
      <c r="N10" s="691"/>
    </row>
    <row r="11" spans="2:16" ht="15" customHeight="1">
      <c r="B11" s="8"/>
      <c r="C11" s="8"/>
      <c r="D11" s="8"/>
      <c r="H11" s="8"/>
      <c r="N11" s="8"/>
    </row>
    <row r="12" spans="2:16" ht="12" customHeight="1"/>
    <row r="13" spans="2:16" ht="12" customHeight="1"/>
    <row r="14" spans="2:16" ht="12" customHeight="1"/>
    <row r="15" spans="2:16" ht="12" customHeight="1"/>
    <row r="16" spans="2:16" ht="12" customHeight="1"/>
    <row r="17" ht="12" customHeight="1"/>
    <row r="18" ht="12" customHeight="1"/>
    <row r="19" ht="12" customHeight="1"/>
    <row r="20" ht="12" customHeight="1"/>
    <row r="21" ht="12" customHeight="1"/>
    <row r="22" ht="12" customHeight="1"/>
    <row r="23" ht="12" customHeight="1"/>
    <row r="24" ht="12" customHeight="1"/>
    <row r="25" ht="12" customHeight="1"/>
    <row r="26" ht="12" customHeight="1"/>
    <row r="27" ht="17.100000000000001" customHeight="1"/>
    <row r="28" ht="17.100000000000001" customHeight="1"/>
  </sheetData>
  <sheetProtection selectLockedCells="1"/>
  <mergeCells count="10">
    <mergeCell ref="F1:J1"/>
    <mergeCell ref="B2:N2"/>
    <mergeCell ref="B4:N4"/>
    <mergeCell ref="B6:B10"/>
    <mergeCell ref="D6:H6"/>
    <mergeCell ref="L6:N6"/>
    <mergeCell ref="D8:F8"/>
    <mergeCell ref="L8:N8"/>
    <mergeCell ref="D10:J10"/>
    <mergeCell ref="L10:N10"/>
  </mergeCells>
  <pageMargins left="0.86614173228346458" right="0.39370078740157483" top="0.39370078740157483" bottom="0.39370078740157483" header="0.31496062992125984" footer="0.31496062992125984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CQ170"/>
  <sheetViews>
    <sheetView topLeftCell="BE1" workbookViewId="0">
      <selection activeCell="CM38" sqref="CM38"/>
    </sheetView>
  </sheetViews>
  <sheetFormatPr baseColWidth="10" defaultRowHeight="12.75"/>
  <cols>
    <col min="1" max="1" width="2.28515625" style="139" customWidth="1"/>
    <col min="2" max="9" width="2.7109375" style="139" customWidth="1"/>
    <col min="10" max="10" width="2.28515625" style="139" customWidth="1"/>
    <col min="11" max="18" width="2.7109375" style="139" customWidth="1"/>
    <col min="19" max="19" width="2.28515625" style="139" customWidth="1"/>
    <col min="20" max="27" width="2.7109375" style="139" customWidth="1"/>
    <col min="28" max="28" width="2.28515625" style="139" customWidth="1"/>
    <col min="29" max="73" width="2.7109375" style="139" customWidth="1"/>
    <col min="74" max="74" width="11.42578125" style="139"/>
    <col min="75" max="75" width="10.7109375" style="139" customWidth="1"/>
    <col min="76" max="76" width="2.28515625" style="139" customWidth="1"/>
    <col min="77" max="77" width="15.85546875" style="139" bestFit="1" customWidth="1"/>
    <col min="78" max="83" width="9.28515625" style="139" customWidth="1"/>
    <col min="84" max="84" width="14.7109375" style="139" bestFit="1" customWidth="1"/>
    <col min="85" max="85" width="6.140625" style="139" customWidth="1"/>
    <col min="86" max="87" width="9.28515625" style="139" customWidth="1"/>
    <col min="88" max="88" width="5.85546875" style="139" customWidth="1"/>
    <col min="89" max="16384" width="11.42578125" style="139"/>
  </cols>
  <sheetData>
    <row r="1" spans="1:95">
      <c r="BW1" s="703" t="s">
        <v>487</v>
      </c>
      <c r="BX1" s="703"/>
      <c r="BY1" s="703"/>
      <c r="BZ1" s="703"/>
      <c r="CA1" s="703"/>
      <c r="CB1" s="703"/>
      <c r="CO1" s="288" t="s">
        <v>490</v>
      </c>
      <c r="CP1" s="288" t="s">
        <v>491</v>
      </c>
      <c r="CQ1" s="288" t="s">
        <v>492</v>
      </c>
    </row>
    <row r="2" spans="1:95">
      <c r="BW2" s="7" t="s">
        <v>172</v>
      </c>
      <c r="BY2" s="7" t="s">
        <v>489</v>
      </c>
      <c r="BZ2" s="7" t="s">
        <v>499</v>
      </c>
      <c r="CA2" s="7" t="s">
        <v>493</v>
      </c>
      <c r="CB2" s="7" t="s">
        <v>498</v>
      </c>
      <c r="CF2" s="7" t="s">
        <v>191</v>
      </c>
      <c r="CN2" s="139" t="s">
        <v>250</v>
      </c>
      <c r="CO2" s="292">
        <v>0</v>
      </c>
      <c r="CP2" s="292">
        <v>0.02</v>
      </c>
      <c r="CQ2" s="292">
        <v>0.02</v>
      </c>
    </row>
    <row r="3" spans="1:95" ht="12.75" customHeight="1">
      <c r="BW3" s="76" t="s">
        <v>173</v>
      </c>
      <c r="BY3" s="76" t="s">
        <v>490</v>
      </c>
      <c r="BZ3" s="76" t="s">
        <v>500</v>
      </c>
      <c r="CA3" s="76">
        <v>4</v>
      </c>
      <c r="CB3" s="139">
        <v>6</v>
      </c>
      <c r="CF3" s="139" t="str">
        <f>IF(BW17="Monolitico","","Anular Intercalario")</f>
        <v>Anular Intercalario</v>
      </c>
      <c r="CN3" s="139" t="s">
        <v>251</v>
      </c>
      <c r="CO3" s="292">
        <v>0</v>
      </c>
      <c r="CP3" s="292">
        <v>0.02</v>
      </c>
      <c r="CQ3" s="292">
        <v>0.02</v>
      </c>
    </row>
    <row r="4" spans="1:95" ht="12.75" customHeight="1">
      <c r="R4" s="277"/>
      <c r="BW4" s="76" t="s">
        <v>174</v>
      </c>
      <c r="BY4" s="76" t="s">
        <v>491</v>
      </c>
      <c r="BZ4" s="76" t="s">
        <v>501</v>
      </c>
      <c r="CA4" s="76">
        <v>6</v>
      </c>
      <c r="CB4" s="76">
        <v>8</v>
      </c>
      <c r="CF4" s="139" t="str">
        <f>IF(BW17="Monolitico","","Incorporar Intercalario")</f>
        <v>Incorporar Intercalario</v>
      </c>
      <c r="CN4" s="139" t="s">
        <v>253</v>
      </c>
      <c r="CO4" s="292">
        <v>0</v>
      </c>
      <c r="CP4" s="292">
        <v>0.02</v>
      </c>
      <c r="CQ4" s="292">
        <v>0.02</v>
      </c>
    </row>
    <row r="5" spans="1:95" ht="12.75" customHeight="1">
      <c r="BW5" s="76" t="s">
        <v>486</v>
      </c>
      <c r="BY5" s="76" t="s">
        <v>492</v>
      </c>
      <c r="BZ5" s="76" t="s">
        <v>502</v>
      </c>
      <c r="CA5" s="76">
        <v>33.1</v>
      </c>
      <c r="CB5" s="76">
        <v>10</v>
      </c>
      <c r="CN5" s="139" t="s">
        <v>252</v>
      </c>
      <c r="CO5" s="292">
        <v>0</v>
      </c>
      <c r="CP5" s="292">
        <v>0.02</v>
      </c>
      <c r="CQ5" s="292">
        <v>0.02</v>
      </c>
    </row>
    <row r="6" spans="1:95" ht="12.75" customHeight="1">
      <c r="BZ6" s="76" t="s">
        <v>503</v>
      </c>
      <c r="CA6" s="76">
        <v>8</v>
      </c>
      <c r="CB6" s="76">
        <f>IF($BW$17="Triple Vidrio"," ",12)</f>
        <v>12</v>
      </c>
      <c r="CC6" s="76"/>
      <c r="CD6" s="76"/>
      <c r="CE6" s="76">
        <v>0</v>
      </c>
      <c r="CF6" s="289" t="s">
        <v>256</v>
      </c>
      <c r="CN6" s="139" t="s">
        <v>15</v>
      </c>
      <c r="CO6" s="292">
        <v>0.06</v>
      </c>
      <c r="CP6" s="292">
        <v>0.08</v>
      </c>
      <c r="CQ6" s="292">
        <v>0.08</v>
      </c>
    </row>
    <row r="7" spans="1:95" ht="12.75" customHeight="1">
      <c r="CA7" s="76">
        <v>44.1</v>
      </c>
      <c r="CB7" s="76">
        <f>IF($BW$17="Triple Vidrio"," ",14)</f>
        <v>14</v>
      </c>
      <c r="CC7" s="76"/>
      <c r="CD7" s="323"/>
      <c r="CE7" s="76">
        <v>0</v>
      </c>
      <c r="CF7" s="289" t="s">
        <v>185</v>
      </c>
      <c r="CN7" s="139" t="s">
        <v>8</v>
      </c>
      <c r="CO7" s="292">
        <v>0.06</v>
      </c>
      <c r="CP7" s="292">
        <v>0.08</v>
      </c>
      <c r="CQ7" s="292">
        <v>0.08</v>
      </c>
    </row>
    <row r="8" spans="1:95" ht="12.75" customHeight="1">
      <c r="CA8" s="76">
        <v>10</v>
      </c>
      <c r="CB8" s="76">
        <f>IF($BW$17="Triple Vidrio"," ",16)</f>
        <v>16</v>
      </c>
      <c r="CC8" s="76"/>
      <c r="CD8" s="323"/>
      <c r="CE8" s="76">
        <v>0.02</v>
      </c>
      <c r="CF8" s="289" t="s">
        <v>186</v>
      </c>
      <c r="CN8" s="139" t="s">
        <v>14</v>
      </c>
      <c r="CO8" s="292">
        <v>0.06</v>
      </c>
      <c r="CP8" s="292">
        <v>0.08</v>
      </c>
      <c r="CQ8" s="292">
        <v>0.08</v>
      </c>
    </row>
    <row r="9" spans="1:95" ht="12.75" customHeight="1">
      <c r="CA9" s="76" t="str">
        <f>IF($BY$17="Normal",55.1," ")</f>
        <v xml:space="preserve"> </v>
      </c>
      <c r="CB9" s="76">
        <f>IF($BW$17="Triple Vidrio"," ",18)</f>
        <v>18</v>
      </c>
      <c r="CC9" s="76"/>
      <c r="CD9" s="323"/>
      <c r="CE9" s="76">
        <v>0.06</v>
      </c>
      <c r="CF9" s="289" t="s">
        <v>187</v>
      </c>
      <c r="CN9" s="139" t="s">
        <v>17</v>
      </c>
      <c r="CO9" s="292">
        <v>0.06</v>
      </c>
      <c r="CP9" s="292">
        <v>0.08</v>
      </c>
      <c r="CQ9" s="292">
        <v>0.08</v>
      </c>
    </row>
    <row r="10" spans="1:95" ht="12.75" customHeight="1">
      <c r="B10" s="698" t="s">
        <v>456</v>
      </c>
      <c r="C10" s="698"/>
      <c r="D10" s="698"/>
      <c r="E10" s="698"/>
      <c r="F10" s="698"/>
      <c r="G10" s="698"/>
      <c r="H10" s="698"/>
      <c r="I10" s="698"/>
      <c r="J10" s="698"/>
      <c r="K10" s="698"/>
      <c r="L10" s="698"/>
      <c r="M10" s="698"/>
      <c r="N10" s="698"/>
      <c r="O10" s="698"/>
      <c r="P10" s="698"/>
      <c r="Q10" s="698"/>
      <c r="R10" s="698"/>
      <c r="S10" s="698"/>
      <c r="T10" s="698"/>
      <c r="U10" s="698"/>
      <c r="V10" s="698"/>
      <c r="W10" s="698"/>
      <c r="X10" s="698"/>
      <c r="Y10" s="698"/>
      <c r="Z10" s="698"/>
      <c r="AA10" s="698"/>
      <c r="AB10" s="698"/>
      <c r="AC10" s="698"/>
      <c r="AD10" s="698"/>
      <c r="AE10" s="698"/>
      <c r="AF10" s="698"/>
      <c r="AG10" s="698"/>
      <c r="AH10" s="698"/>
      <c r="AI10" s="698"/>
      <c r="AJ10" s="698"/>
      <c r="AK10" s="140"/>
      <c r="AM10" s="698" t="s">
        <v>457</v>
      </c>
      <c r="AN10" s="698"/>
      <c r="AO10" s="698"/>
      <c r="AP10" s="698"/>
      <c r="AQ10" s="698"/>
      <c r="AR10" s="698"/>
      <c r="AS10" s="698"/>
      <c r="AT10" s="698"/>
      <c r="AU10" s="698"/>
      <c r="AV10" s="698"/>
      <c r="AW10" s="698"/>
      <c r="AX10" s="698"/>
      <c r="AY10" s="698"/>
      <c r="AZ10" s="698"/>
      <c r="BA10" s="698"/>
      <c r="BB10" s="698"/>
      <c r="BC10" s="698"/>
      <c r="BD10" s="698"/>
      <c r="BE10" s="698"/>
      <c r="BF10" s="698"/>
      <c r="BG10" s="698"/>
      <c r="BH10" s="698"/>
      <c r="BI10" s="698"/>
      <c r="BJ10" s="698"/>
      <c r="BK10" s="698"/>
      <c r="BL10" s="698"/>
      <c r="BM10" s="698"/>
      <c r="BN10" s="698"/>
      <c r="BO10" s="698"/>
      <c r="BP10" s="698"/>
      <c r="BQ10" s="698"/>
      <c r="BR10" s="698"/>
      <c r="BS10" s="698"/>
      <c r="BT10" s="698"/>
      <c r="BU10" s="698"/>
      <c r="CA10" s="76" t="str">
        <f>IF($BY$17="Normal",12," ")</f>
        <v xml:space="preserve"> </v>
      </c>
      <c r="CB10" s="76">
        <f>IF($BW$17="Triple Vidrio"," ",20)</f>
        <v>20</v>
      </c>
      <c r="CC10" s="76"/>
      <c r="CD10" s="323"/>
      <c r="CE10" s="76">
        <v>0.08</v>
      </c>
      <c r="CF10" s="289" t="s">
        <v>188</v>
      </c>
      <c r="CN10" s="139" t="s">
        <v>16</v>
      </c>
      <c r="CO10" s="292">
        <v>0.06</v>
      </c>
      <c r="CP10" s="292">
        <v>0.08</v>
      </c>
      <c r="CQ10" s="292">
        <v>0.08</v>
      </c>
    </row>
    <row r="11" spans="1:95" ht="12.75" customHeight="1">
      <c r="B11" s="699" t="s">
        <v>458</v>
      </c>
      <c r="C11" s="699"/>
      <c r="D11" s="699"/>
      <c r="E11" s="699"/>
      <c r="F11" s="699"/>
      <c r="G11" s="699"/>
      <c r="H11" s="699"/>
      <c r="I11" s="699"/>
      <c r="K11" s="699" t="s">
        <v>459</v>
      </c>
      <c r="L11" s="699"/>
      <c r="M11" s="699"/>
      <c r="N11" s="699"/>
      <c r="O11" s="699"/>
      <c r="P11" s="699"/>
      <c r="Q11" s="699"/>
      <c r="R11" s="699"/>
      <c r="T11" s="699" t="s">
        <v>460</v>
      </c>
      <c r="U11" s="699"/>
      <c r="V11" s="699"/>
      <c r="W11" s="699"/>
      <c r="X11" s="699"/>
      <c r="Y11" s="699"/>
      <c r="Z11" s="699"/>
      <c r="AA11" s="699"/>
      <c r="AC11" s="699" t="s">
        <v>461</v>
      </c>
      <c r="AD11" s="699"/>
      <c r="AE11" s="699"/>
      <c r="AF11" s="699"/>
      <c r="AG11" s="699"/>
      <c r="AH11" s="699"/>
      <c r="AI11" s="699"/>
      <c r="AJ11" s="699"/>
      <c r="AK11" s="140"/>
      <c r="AM11" s="699" t="s">
        <v>458</v>
      </c>
      <c r="AN11" s="699"/>
      <c r="AO11" s="699"/>
      <c r="AP11" s="699"/>
      <c r="AQ11" s="699"/>
      <c r="AR11" s="699"/>
      <c r="AS11" s="699"/>
      <c r="AT11" s="699"/>
      <c r="AV11" s="699" t="s">
        <v>459</v>
      </c>
      <c r="AW11" s="699"/>
      <c r="AX11" s="699"/>
      <c r="AY11" s="699"/>
      <c r="AZ11" s="699"/>
      <c r="BA11" s="699"/>
      <c r="BB11" s="699"/>
      <c r="BC11" s="699"/>
      <c r="BE11" s="699" t="s">
        <v>460</v>
      </c>
      <c r="BF11" s="699"/>
      <c r="BG11" s="699"/>
      <c r="BH11" s="699"/>
      <c r="BI11" s="699"/>
      <c r="BJ11" s="699"/>
      <c r="BK11" s="699"/>
      <c r="BL11" s="699"/>
      <c r="BN11" s="699" t="s">
        <v>461</v>
      </c>
      <c r="BO11" s="699"/>
      <c r="BP11" s="699"/>
      <c r="BQ11" s="699"/>
      <c r="BR11" s="699"/>
      <c r="BS11" s="699"/>
      <c r="BT11" s="699"/>
      <c r="BU11" s="699"/>
      <c r="CA11" s="76" t="str">
        <f>IF($BY$17="Normal",66.1," ")</f>
        <v xml:space="preserve"> </v>
      </c>
      <c r="CB11" s="76">
        <f>IF($BW$17="Triple Vidrio"," ",22)</f>
        <v>22</v>
      </c>
      <c r="CC11" s="76"/>
      <c r="CD11" s="76"/>
      <c r="CE11" s="76"/>
      <c r="CN11" s="139" t="s">
        <v>128</v>
      </c>
      <c r="CO11" s="292">
        <v>0.06</v>
      </c>
      <c r="CP11" s="292">
        <v>0.08</v>
      </c>
      <c r="CQ11" s="292">
        <v>0.08</v>
      </c>
    </row>
    <row r="12" spans="1:95" ht="12.75" customHeight="1" thickBot="1">
      <c r="C12" s="696" t="s">
        <v>6</v>
      </c>
      <c r="D12" s="696"/>
      <c r="E12" s="696"/>
      <c r="F12" s="696"/>
      <c r="G12" s="696"/>
      <c r="H12" s="696"/>
      <c r="I12" s="696"/>
      <c r="L12" s="696" t="s">
        <v>6</v>
      </c>
      <c r="M12" s="696"/>
      <c r="N12" s="696"/>
      <c r="O12" s="696"/>
      <c r="P12" s="696"/>
      <c r="Q12" s="696"/>
      <c r="R12" s="696"/>
      <c r="U12" s="696" t="s">
        <v>6</v>
      </c>
      <c r="V12" s="696"/>
      <c r="W12" s="696"/>
      <c r="X12" s="696"/>
      <c r="Y12" s="696"/>
      <c r="Z12" s="696"/>
      <c r="AA12" s="696"/>
      <c r="AD12" s="696" t="s">
        <v>6</v>
      </c>
      <c r="AE12" s="696"/>
      <c r="AF12" s="696"/>
      <c r="AG12" s="696"/>
      <c r="AH12" s="696"/>
      <c r="AI12" s="696"/>
      <c r="AJ12" s="696"/>
      <c r="AK12" s="140"/>
      <c r="AN12" s="696" t="s">
        <v>6</v>
      </c>
      <c r="AO12" s="696"/>
      <c r="AP12" s="696"/>
      <c r="AQ12" s="696"/>
      <c r="AR12" s="696"/>
      <c r="AS12" s="696"/>
      <c r="AT12" s="696"/>
      <c r="AW12" s="696" t="s">
        <v>6</v>
      </c>
      <c r="AX12" s="696"/>
      <c r="AY12" s="696"/>
      <c r="AZ12" s="696"/>
      <c r="BA12" s="696"/>
      <c r="BB12" s="696"/>
      <c r="BC12" s="696"/>
      <c r="BF12" s="696" t="s">
        <v>6</v>
      </c>
      <c r="BG12" s="696"/>
      <c r="BH12" s="696"/>
      <c r="BI12" s="696"/>
      <c r="BJ12" s="696"/>
      <c r="BK12" s="696"/>
      <c r="BL12" s="696"/>
      <c r="BO12" s="696" t="s">
        <v>6</v>
      </c>
      <c r="BP12" s="696"/>
      <c r="BQ12" s="696"/>
      <c r="BR12" s="696"/>
      <c r="BS12" s="696"/>
      <c r="BT12" s="696"/>
      <c r="BU12" s="696"/>
      <c r="CA12" s="76" t="str">
        <f>IF($BY$17="Normal",15," ")</f>
        <v xml:space="preserve"> </v>
      </c>
      <c r="CB12" s="76">
        <f>IF($BW$17="Triple Vidrio"," ",24)</f>
        <v>24</v>
      </c>
      <c r="CC12" s="76"/>
      <c r="CD12" s="76"/>
      <c r="CE12" s="76"/>
      <c r="CN12" s="139" t="s">
        <v>129</v>
      </c>
      <c r="CO12" s="292">
        <v>0.06</v>
      </c>
      <c r="CP12" s="292">
        <v>0.08</v>
      </c>
      <c r="CQ12" s="292">
        <v>0.08</v>
      </c>
    </row>
    <row r="13" spans="1:95" ht="12.75" customHeight="1" thickBot="1">
      <c r="B13" s="141">
        <v>6</v>
      </c>
      <c r="C13" s="142">
        <v>4</v>
      </c>
      <c r="D13" s="142">
        <v>6</v>
      </c>
      <c r="E13" s="142">
        <v>8</v>
      </c>
      <c r="F13" s="142">
        <v>10</v>
      </c>
      <c r="G13" s="142">
        <v>12</v>
      </c>
      <c r="H13" s="142">
        <v>15</v>
      </c>
      <c r="I13" s="143">
        <v>19</v>
      </c>
      <c r="K13" s="141">
        <v>6</v>
      </c>
      <c r="L13" s="142">
        <v>4</v>
      </c>
      <c r="M13" s="142">
        <v>6</v>
      </c>
      <c r="N13" s="142">
        <v>8</v>
      </c>
      <c r="O13" s="142">
        <v>10</v>
      </c>
      <c r="P13" s="142">
        <v>12</v>
      </c>
      <c r="Q13" s="142">
        <v>15</v>
      </c>
      <c r="R13" s="143">
        <v>19</v>
      </c>
      <c r="T13" s="141">
        <v>6</v>
      </c>
      <c r="U13" s="142">
        <v>4</v>
      </c>
      <c r="V13" s="142">
        <v>6</v>
      </c>
      <c r="W13" s="142">
        <v>8</v>
      </c>
      <c r="X13" s="142">
        <v>10</v>
      </c>
      <c r="Y13" s="142">
        <v>12</v>
      </c>
      <c r="Z13" s="142">
        <v>15</v>
      </c>
      <c r="AA13" s="143">
        <v>19</v>
      </c>
      <c r="AC13" s="141">
        <v>6</v>
      </c>
      <c r="AD13" s="142">
        <v>4</v>
      </c>
      <c r="AE13" s="142">
        <v>6</v>
      </c>
      <c r="AF13" s="142">
        <v>8</v>
      </c>
      <c r="AG13" s="142">
        <v>10</v>
      </c>
      <c r="AH13" s="142">
        <v>12</v>
      </c>
      <c r="AI13" s="142">
        <v>15</v>
      </c>
      <c r="AJ13" s="143">
        <v>19</v>
      </c>
      <c r="AK13" s="140"/>
      <c r="AM13" s="141">
        <v>6</v>
      </c>
      <c r="AN13" s="142">
        <v>4</v>
      </c>
      <c r="AO13" s="142">
        <v>6</v>
      </c>
      <c r="AP13" s="142">
        <v>8</v>
      </c>
      <c r="AQ13" s="142">
        <v>10</v>
      </c>
      <c r="AR13" s="142">
        <v>12</v>
      </c>
      <c r="AS13" s="142">
        <v>15</v>
      </c>
      <c r="AT13" s="143">
        <v>19</v>
      </c>
      <c r="AV13" s="141">
        <v>6</v>
      </c>
      <c r="AW13" s="142">
        <v>4</v>
      </c>
      <c r="AX13" s="142">
        <v>6</v>
      </c>
      <c r="AY13" s="142">
        <v>8</v>
      </c>
      <c r="AZ13" s="142">
        <v>10</v>
      </c>
      <c r="BA13" s="142">
        <v>12</v>
      </c>
      <c r="BB13" s="142">
        <v>15</v>
      </c>
      <c r="BC13" s="143">
        <v>19</v>
      </c>
      <c r="BE13" s="141">
        <v>6</v>
      </c>
      <c r="BF13" s="142">
        <v>4</v>
      </c>
      <c r="BG13" s="142">
        <v>6</v>
      </c>
      <c r="BH13" s="142">
        <v>8</v>
      </c>
      <c r="BI13" s="142">
        <v>10</v>
      </c>
      <c r="BJ13" s="142">
        <v>12</v>
      </c>
      <c r="BK13" s="142">
        <v>15</v>
      </c>
      <c r="BL13" s="143">
        <v>19</v>
      </c>
      <c r="BN13" s="141">
        <v>6</v>
      </c>
      <c r="BO13" s="142">
        <v>4</v>
      </c>
      <c r="BP13" s="142">
        <v>6</v>
      </c>
      <c r="BQ13" s="142">
        <v>8</v>
      </c>
      <c r="BR13" s="142">
        <v>10</v>
      </c>
      <c r="BS13" s="142">
        <v>12</v>
      </c>
      <c r="BT13" s="142">
        <v>15</v>
      </c>
      <c r="BU13" s="143">
        <v>19</v>
      </c>
      <c r="CA13" s="76" t="str">
        <f>IF($BY$17="Normal",19," ")</f>
        <v xml:space="preserve"> </v>
      </c>
      <c r="CC13" s="76"/>
      <c r="CD13" s="76"/>
      <c r="CE13" s="76"/>
      <c r="CN13" s="139" t="s">
        <v>130</v>
      </c>
      <c r="CO13" s="292">
        <v>0.06</v>
      </c>
      <c r="CP13" s="292">
        <v>0.08</v>
      </c>
      <c r="CQ13" s="292">
        <v>0.08</v>
      </c>
    </row>
    <row r="14" spans="1:95" ht="12.75" customHeight="1">
      <c r="A14" s="697" t="s">
        <v>5</v>
      </c>
      <c r="B14" s="144">
        <v>4</v>
      </c>
      <c r="C14" s="301">
        <v>3.3</v>
      </c>
      <c r="D14" s="302">
        <v>3.3</v>
      </c>
      <c r="E14" s="300">
        <v>3.2</v>
      </c>
      <c r="F14" s="300">
        <v>3.2</v>
      </c>
      <c r="G14" s="300">
        <v>3.2</v>
      </c>
      <c r="H14" s="300">
        <v>3.2</v>
      </c>
      <c r="I14" s="294">
        <v>3.1</v>
      </c>
      <c r="J14" s="697" t="s">
        <v>5</v>
      </c>
      <c r="K14" s="144">
        <v>4</v>
      </c>
      <c r="L14" s="225">
        <v>3</v>
      </c>
      <c r="M14" s="306">
        <v>3</v>
      </c>
      <c r="N14" s="306">
        <v>3</v>
      </c>
      <c r="O14" s="306">
        <v>3</v>
      </c>
      <c r="P14" s="306">
        <v>3</v>
      </c>
      <c r="Q14" s="148">
        <v>2.9</v>
      </c>
      <c r="R14" s="309">
        <v>2.9</v>
      </c>
      <c r="S14" s="697" t="s">
        <v>5</v>
      </c>
      <c r="T14" s="144">
        <v>4</v>
      </c>
      <c r="U14" s="252">
        <v>2.7</v>
      </c>
      <c r="V14" s="228">
        <v>2.7</v>
      </c>
      <c r="W14" s="228">
        <v>2.7</v>
      </c>
      <c r="X14" s="228">
        <v>2.7</v>
      </c>
      <c r="Y14" s="228">
        <v>2.7</v>
      </c>
      <c r="Z14" s="152">
        <v>2.6</v>
      </c>
      <c r="AA14" s="253">
        <v>2.6</v>
      </c>
      <c r="AB14" s="697" t="s">
        <v>5</v>
      </c>
      <c r="AC14" s="144">
        <v>4</v>
      </c>
      <c r="AD14" s="155">
        <v>2.5</v>
      </c>
      <c r="AE14" s="153">
        <v>2.5</v>
      </c>
      <c r="AF14" s="153">
        <v>2.5</v>
      </c>
      <c r="AG14" s="153">
        <v>2.5</v>
      </c>
      <c r="AH14" s="153">
        <v>2.5</v>
      </c>
      <c r="AI14" s="153">
        <v>2.5</v>
      </c>
      <c r="AJ14" s="157">
        <v>2.4</v>
      </c>
      <c r="AK14" s="140"/>
      <c r="AL14" s="697" t="s">
        <v>5</v>
      </c>
      <c r="AM14" s="144">
        <v>4</v>
      </c>
      <c r="AN14" s="155">
        <v>2.5</v>
      </c>
      <c r="AO14" s="156">
        <v>2.4</v>
      </c>
      <c r="AP14" s="156">
        <v>2.4</v>
      </c>
      <c r="AQ14" s="156">
        <v>2.4</v>
      </c>
      <c r="AR14" s="156">
        <v>2.4</v>
      </c>
      <c r="AS14" s="156">
        <v>2.4</v>
      </c>
      <c r="AT14" s="157">
        <v>2.4</v>
      </c>
      <c r="AU14" s="697" t="s">
        <v>5</v>
      </c>
      <c r="AV14" s="144">
        <v>4</v>
      </c>
      <c r="AW14" s="311">
        <v>2</v>
      </c>
      <c r="AX14" s="160">
        <v>2</v>
      </c>
      <c r="AY14" s="314">
        <v>1.9</v>
      </c>
      <c r="AZ14" s="313">
        <v>1.9</v>
      </c>
      <c r="BA14" s="313">
        <v>1.9</v>
      </c>
      <c r="BB14" s="313">
        <v>1.9</v>
      </c>
      <c r="BC14" s="317">
        <v>1.9</v>
      </c>
      <c r="BD14" s="697" t="s">
        <v>5</v>
      </c>
      <c r="BE14" s="144">
        <v>4</v>
      </c>
      <c r="BF14" s="319">
        <v>1.3</v>
      </c>
      <c r="BG14" s="267">
        <v>1.3</v>
      </c>
      <c r="BH14" s="267">
        <v>1.3</v>
      </c>
      <c r="BI14" s="267">
        <v>1.3</v>
      </c>
      <c r="BJ14" s="267">
        <v>1.3</v>
      </c>
      <c r="BK14" s="267">
        <v>1.3</v>
      </c>
      <c r="BL14" s="268">
        <v>1.3</v>
      </c>
      <c r="BM14" s="697" t="s">
        <v>5</v>
      </c>
      <c r="BN14" s="144">
        <v>4</v>
      </c>
      <c r="BO14" s="168">
        <v>0.9</v>
      </c>
      <c r="BP14" s="169">
        <v>0.9</v>
      </c>
      <c r="BQ14" s="169">
        <v>0.9</v>
      </c>
      <c r="BR14" s="169">
        <v>0.9</v>
      </c>
      <c r="BS14" s="169">
        <v>0.9</v>
      </c>
      <c r="BT14" s="169">
        <v>0.9</v>
      </c>
      <c r="BU14" s="235">
        <v>0.9</v>
      </c>
    </row>
    <row r="15" spans="1:95" ht="12.75" customHeight="1">
      <c r="A15" s="697"/>
      <c r="B15" s="144">
        <v>6</v>
      </c>
      <c r="C15" s="303">
        <v>3.3</v>
      </c>
      <c r="D15" s="304">
        <v>3.2</v>
      </c>
      <c r="E15" s="304">
        <v>3.2</v>
      </c>
      <c r="F15" s="304">
        <v>3.2</v>
      </c>
      <c r="G15" s="304">
        <v>3.2</v>
      </c>
      <c r="H15" s="304">
        <v>3.2</v>
      </c>
      <c r="I15" s="295">
        <v>3.1</v>
      </c>
      <c r="J15" s="697"/>
      <c r="K15" s="144">
        <v>6</v>
      </c>
      <c r="L15" s="203">
        <v>3</v>
      </c>
      <c r="M15" s="174">
        <v>3</v>
      </c>
      <c r="N15" s="174">
        <v>3</v>
      </c>
      <c r="O15" s="174">
        <v>3</v>
      </c>
      <c r="P15" s="204">
        <v>2.9</v>
      </c>
      <c r="Q15" s="204">
        <v>2.9</v>
      </c>
      <c r="R15" s="175">
        <v>2.9</v>
      </c>
      <c r="S15" s="697"/>
      <c r="T15" s="144">
        <v>6</v>
      </c>
      <c r="U15" s="237">
        <v>2.7</v>
      </c>
      <c r="V15" s="200">
        <v>2.7</v>
      </c>
      <c r="W15" s="200">
        <v>2.7</v>
      </c>
      <c r="X15" s="200">
        <v>2.7</v>
      </c>
      <c r="Y15" s="180">
        <v>2.6</v>
      </c>
      <c r="Z15" s="180">
        <v>2.6</v>
      </c>
      <c r="AA15" s="238">
        <v>2.6</v>
      </c>
      <c r="AB15" s="697"/>
      <c r="AC15" s="144">
        <v>6</v>
      </c>
      <c r="AD15" s="183">
        <v>2.5</v>
      </c>
      <c r="AE15" s="181">
        <v>2.5</v>
      </c>
      <c r="AF15" s="181">
        <v>2.5</v>
      </c>
      <c r="AG15" s="181">
        <v>2.5</v>
      </c>
      <c r="AH15" s="181">
        <v>2.5</v>
      </c>
      <c r="AI15" s="181">
        <v>2.5</v>
      </c>
      <c r="AJ15" s="185">
        <v>2.4</v>
      </c>
      <c r="AK15" s="140"/>
      <c r="AL15" s="697"/>
      <c r="AM15" s="144">
        <v>6</v>
      </c>
      <c r="AN15" s="208">
        <v>2.4</v>
      </c>
      <c r="AO15" s="184">
        <v>2.4</v>
      </c>
      <c r="AP15" s="184">
        <v>2.4</v>
      </c>
      <c r="AQ15" s="184">
        <v>2.4</v>
      </c>
      <c r="AR15" s="184">
        <v>2.4</v>
      </c>
      <c r="AS15" s="184">
        <v>2.4</v>
      </c>
      <c r="AT15" s="185">
        <v>2.4</v>
      </c>
      <c r="AU15" s="697"/>
      <c r="AV15" s="144">
        <v>6</v>
      </c>
      <c r="AW15" s="312">
        <v>2</v>
      </c>
      <c r="AX15" s="315">
        <v>1.9</v>
      </c>
      <c r="AY15" s="315">
        <v>1.9</v>
      </c>
      <c r="AZ15" s="315">
        <v>1.9</v>
      </c>
      <c r="BA15" s="315">
        <v>1.9</v>
      </c>
      <c r="BB15" s="315">
        <v>1.9</v>
      </c>
      <c r="BC15" s="318">
        <v>1.9</v>
      </c>
      <c r="BD15" s="697"/>
      <c r="BE15" s="144">
        <v>6</v>
      </c>
      <c r="BF15" s="320">
        <v>1.3</v>
      </c>
      <c r="BG15" s="271">
        <v>1.3</v>
      </c>
      <c r="BH15" s="271">
        <v>1.3</v>
      </c>
      <c r="BI15" s="271">
        <v>1.3</v>
      </c>
      <c r="BJ15" s="271">
        <v>1.3</v>
      </c>
      <c r="BK15" s="271">
        <v>1.3</v>
      </c>
      <c r="BL15" s="272">
        <v>1.3</v>
      </c>
      <c r="BM15" s="697"/>
      <c r="BN15" s="144">
        <v>6</v>
      </c>
      <c r="BO15" s="196">
        <v>0.9</v>
      </c>
      <c r="BP15" s="245">
        <v>0.9</v>
      </c>
      <c r="BQ15" s="245">
        <v>0.9</v>
      </c>
      <c r="BR15" s="245">
        <v>0.9</v>
      </c>
      <c r="BS15" s="245">
        <v>0.9</v>
      </c>
      <c r="BT15" s="245">
        <v>0.9</v>
      </c>
      <c r="BU15" s="246">
        <v>0.9</v>
      </c>
      <c r="BW15" s="703" t="s">
        <v>488</v>
      </c>
      <c r="BX15" s="703"/>
      <c r="BY15" s="703"/>
      <c r="BZ15" s="703"/>
      <c r="CA15" s="703"/>
      <c r="CB15" s="703"/>
      <c r="CC15" s="703"/>
      <c r="CD15" s="703"/>
      <c r="CE15" s="703"/>
      <c r="CF15" s="703"/>
      <c r="CG15" s="703"/>
    </row>
    <row r="16" spans="1:95" ht="12.75" customHeight="1">
      <c r="A16" s="697"/>
      <c r="B16" s="144">
        <v>8</v>
      </c>
      <c r="C16" s="305">
        <v>3.2</v>
      </c>
      <c r="D16" s="304">
        <v>3.2</v>
      </c>
      <c r="E16" s="304">
        <v>3.2</v>
      </c>
      <c r="F16" s="304">
        <v>3.2</v>
      </c>
      <c r="G16" s="304">
        <v>3.2</v>
      </c>
      <c r="H16" s="297">
        <v>3.1</v>
      </c>
      <c r="I16" s="295">
        <v>3.1</v>
      </c>
      <c r="J16" s="697"/>
      <c r="K16" s="144">
        <v>8</v>
      </c>
      <c r="L16" s="203">
        <v>3</v>
      </c>
      <c r="M16" s="174">
        <v>3</v>
      </c>
      <c r="N16" s="174">
        <v>3</v>
      </c>
      <c r="O16" s="204">
        <v>2.9</v>
      </c>
      <c r="P16" s="204">
        <v>2.9</v>
      </c>
      <c r="Q16" s="204">
        <v>2.9</v>
      </c>
      <c r="R16" s="175">
        <v>2.9</v>
      </c>
      <c r="S16" s="697"/>
      <c r="T16" s="144">
        <v>8</v>
      </c>
      <c r="U16" s="237">
        <v>2.7</v>
      </c>
      <c r="V16" s="200">
        <v>2.7</v>
      </c>
      <c r="W16" s="200">
        <v>2.7</v>
      </c>
      <c r="X16" s="180">
        <v>2.6</v>
      </c>
      <c r="Y16" s="180">
        <v>2.6</v>
      </c>
      <c r="Z16" s="180">
        <v>2.6</v>
      </c>
      <c r="AA16" s="238">
        <v>2.6</v>
      </c>
      <c r="AB16" s="697"/>
      <c r="AC16" s="144">
        <v>8</v>
      </c>
      <c r="AD16" s="183">
        <v>2.5</v>
      </c>
      <c r="AE16" s="181">
        <v>2.5</v>
      </c>
      <c r="AF16" s="181">
        <v>2.5</v>
      </c>
      <c r="AG16" s="181">
        <v>2.5</v>
      </c>
      <c r="AH16" s="181">
        <v>2.5</v>
      </c>
      <c r="AI16" s="184">
        <v>2.4</v>
      </c>
      <c r="AJ16" s="185">
        <v>2.4</v>
      </c>
      <c r="AK16" s="140"/>
      <c r="AL16" s="697"/>
      <c r="AM16" s="144">
        <v>8</v>
      </c>
      <c r="AN16" s="208">
        <v>2.4</v>
      </c>
      <c r="AO16" s="184">
        <v>2.4</v>
      </c>
      <c r="AP16" s="184">
        <v>2.4</v>
      </c>
      <c r="AQ16" s="184">
        <v>2.4</v>
      </c>
      <c r="AR16" s="184">
        <v>2.4</v>
      </c>
      <c r="AS16" s="184">
        <v>2.4</v>
      </c>
      <c r="AT16" s="310">
        <v>2.2999999999999998</v>
      </c>
      <c r="AU16" s="697"/>
      <c r="AV16" s="144">
        <v>8</v>
      </c>
      <c r="AW16" s="316">
        <v>1.9</v>
      </c>
      <c r="AX16" s="315">
        <v>1.9</v>
      </c>
      <c r="AY16" s="315">
        <v>1.9</v>
      </c>
      <c r="AZ16" s="315">
        <v>1.9</v>
      </c>
      <c r="BA16" s="315">
        <v>1.9</v>
      </c>
      <c r="BB16" s="315">
        <v>1.9</v>
      </c>
      <c r="BC16" s="318">
        <v>1.9</v>
      </c>
      <c r="BD16" s="697"/>
      <c r="BE16" s="144">
        <v>8</v>
      </c>
      <c r="BF16" s="320">
        <v>1.3</v>
      </c>
      <c r="BG16" s="271">
        <v>1.3</v>
      </c>
      <c r="BH16" s="271">
        <v>1.3</v>
      </c>
      <c r="BI16" s="271">
        <v>1.3</v>
      </c>
      <c r="BJ16" s="271">
        <v>1.3</v>
      </c>
      <c r="BK16" s="271">
        <v>1.3</v>
      </c>
      <c r="BL16" s="272">
        <v>1.3</v>
      </c>
      <c r="BM16" s="697"/>
      <c r="BN16" s="144">
        <v>8</v>
      </c>
      <c r="BO16" s="196">
        <v>0.9</v>
      </c>
      <c r="BP16" s="245">
        <v>0.9</v>
      </c>
      <c r="BQ16" s="245">
        <v>0.9</v>
      </c>
      <c r="BR16" s="245">
        <v>0.9</v>
      </c>
      <c r="BS16" s="245">
        <v>0.9</v>
      </c>
      <c r="BT16" s="245">
        <v>0.9</v>
      </c>
      <c r="BU16" s="246">
        <v>0.9</v>
      </c>
      <c r="BW16" s="7" t="s">
        <v>172</v>
      </c>
      <c r="BY16" s="7" t="s">
        <v>489</v>
      </c>
      <c r="BZ16" s="7" t="s">
        <v>499</v>
      </c>
      <c r="CA16" s="285" t="s">
        <v>493</v>
      </c>
      <c r="CB16" s="285" t="s">
        <v>504</v>
      </c>
      <c r="CC16" s="285" t="s">
        <v>494</v>
      </c>
      <c r="CD16" s="285" t="s">
        <v>495</v>
      </c>
      <c r="CE16" s="285" t="s">
        <v>497</v>
      </c>
      <c r="CF16" s="7" t="s">
        <v>585</v>
      </c>
      <c r="CG16" s="293" t="s">
        <v>576</v>
      </c>
      <c r="CH16" s="293" t="s">
        <v>575</v>
      </c>
      <c r="CI16" s="347" t="s">
        <v>7</v>
      </c>
      <c r="CK16" s="7" t="s">
        <v>184</v>
      </c>
      <c r="CL16" s="7" t="s">
        <v>255</v>
      </c>
    </row>
    <row r="17" spans="1:91" ht="12.75" customHeight="1">
      <c r="A17" s="697"/>
      <c r="B17" s="144">
        <v>10</v>
      </c>
      <c r="C17" s="305">
        <v>3.2</v>
      </c>
      <c r="D17" s="304">
        <v>3.2</v>
      </c>
      <c r="E17" s="304">
        <v>3.2</v>
      </c>
      <c r="F17" s="304">
        <v>3.2</v>
      </c>
      <c r="G17" s="297">
        <v>3.1</v>
      </c>
      <c r="H17" s="297">
        <v>3.1</v>
      </c>
      <c r="I17" s="295">
        <v>3.1</v>
      </c>
      <c r="J17" s="697"/>
      <c r="K17" s="144">
        <v>10</v>
      </c>
      <c r="L17" s="203">
        <v>3</v>
      </c>
      <c r="M17" s="174">
        <v>3</v>
      </c>
      <c r="N17" s="204">
        <v>2.9</v>
      </c>
      <c r="O17" s="204">
        <v>2.9</v>
      </c>
      <c r="P17" s="204">
        <v>2.9</v>
      </c>
      <c r="Q17" s="204">
        <v>2.9</v>
      </c>
      <c r="R17" s="236">
        <v>2.8</v>
      </c>
      <c r="S17" s="697"/>
      <c r="T17" s="144">
        <v>10</v>
      </c>
      <c r="U17" s="237">
        <v>2.7</v>
      </c>
      <c r="V17" s="200">
        <v>2.7</v>
      </c>
      <c r="W17" s="180">
        <v>2.6</v>
      </c>
      <c r="X17" s="180">
        <v>2.6</v>
      </c>
      <c r="Y17" s="180">
        <v>2.6</v>
      </c>
      <c r="Z17" s="180">
        <v>2.6</v>
      </c>
      <c r="AA17" s="238">
        <v>2.6</v>
      </c>
      <c r="AB17" s="697"/>
      <c r="AC17" s="144">
        <v>10</v>
      </c>
      <c r="AD17" s="183">
        <v>2.5</v>
      </c>
      <c r="AE17" s="181">
        <v>2.5</v>
      </c>
      <c r="AF17" s="181">
        <v>2.5</v>
      </c>
      <c r="AG17" s="181">
        <v>2.5</v>
      </c>
      <c r="AH17" s="184">
        <v>2.4</v>
      </c>
      <c r="AI17" s="184">
        <v>2.4</v>
      </c>
      <c r="AJ17" s="185">
        <v>2.4</v>
      </c>
      <c r="AK17" s="140"/>
      <c r="AL17" s="697"/>
      <c r="AM17" s="144">
        <v>10</v>
      </c>
      <c r="AN17" s="208">
        <v>2.4</v>
      </c>
      <c r="AO17" s="184">
        <v>2.4</v>
      </c>
      <c r="AP17" s="184">
        <v>2.4</v>
      </c>
      <c r="AQ17" s="184">
        <v>2.4</v>
      </c>
      <c r="AR17" s="184">
        <v>2.4</v>
      </c>
      <c r="AS17" s="184">
        <v>2.4</v>
      </c>
      <c r="AT17" s="310">
        <v>2.2999999999999998</v>
      </c>
      <c r="AU17" s="697"/>
      <c r="AV17" s="144">
        <v>10</v>
      </c>
      <c r="AW17" s="316">
        <v>1.9</v>
      </c>
      <c r="AX17" s="315">
        <v>1.9</v>
      </c>
      <c r="AY17" s="315">
        <v>1.9</v>
      </c>
      <c r="AZ17" s="315">
        <v>1.9</v>
      </c>
      <c r="BA17" s="315">
        <v>1.9</v>
      </c>
      <c r="BB17" s="315">
        <v>1.9</v>
      </c>
      <c r="BC17" s="318">
        <v>1.9</v>
      </c>
      <c r="BD17" s="697"/>
      <c r="BE17" s="144">
        <v>10</v>
      </c>
      <c r="BF17" s="320">
        <v>1.3</v>
      </c>
      <c r="BG17" s="271">
        <v>1.3</v>
      </c>
      <c r="BH17" s="271">
        <v>1.3</v>
      </c>
      <c r="BI17" s="271">
        <v>1.3</v>
      </c>
      <c r="BJ17" s="271">
        <v>1.3</v>
      </c>
      <c r="BK17" s="271">
        <v>1.3</v>
      </c>
      <c r="BL17" s="272">
        <v>1.3</v>
      </c>
      <c r="BM17" s="697"/>
      <c r="BN17" s="144">
        <v>10</v>
      </c>
      <c r="BO17" s="196">
        <v>0.9</v>
      </c>
      <c r="BP17" s="245">
        <v>0.9</v>
      </c>
      <c r="BQ17" s="245">
        <v>0.9</v>
      </c>
      <c r="BR17" s="245">
        <v>0.9</v>
      </c>
      <c r="BS17" s="245">
        <v>0.9</v>
      </c>
      <c r="BT17" s="245">
        <v>0.9</v>
      </c>
      <c r="BU17" s="246">
        <v>0.9</v>
      </c>
      <c r="BW17" s="76">
        <f>FORMULARIO!D44</f>
        <v>0</v>
      </c>
      <c r="BY17" s="76">
        <f>FORMULARIO!H44</f>
        <v>0</v>
      </c>
      <c r="BZ17" s="76">
        <f>FORMULARIO!N44</f>
        <v>0</v>
      </c>
      <c r="CA17" s="76" t="e">
        <f>VLOOKUP(CA18,CE27:CF37,2,FALSE)</f>
        <v>#N/A</v>
      </c>
      <c r="CB17" s="76">
        <f>FORMULARIO!H53</f>
        <v>0</v>
      </c>
      <c r="CC17" s="76" t="e">
        <f>VLOOKUP(CC18,CE27:CF37,2,FALSE)</f>
        <v>#N/A</v>
      </c>
      <c r="CD17" s="76">
        <f>FORMULARIO!L53</f>
        <v>0</v>
      </c>
      <c r="CE17" s="76" t="e">
        <f>VLOOKUP(CE18,CE27:CF37,2,FALSE)</f>
        <v>#N/A</v>
      </c>
      <c r="CG17" s="324">
        <f>FORMULARIO!W57</f>
        <v>0</v>
      </c>
      <c r="CH17" s="139" t="e">
        <f>VLOOKUP(BW17,CH19:CI21,2,FALSE)</f>
        <v>#N/A</v>
      </c>
      <c r="CI17" s="139" t="e">
        <f>IF(CG17&lt;&gt;0,CG17,CH17)</f>
        <v>#N/A</v>
      </c>
      <c r="CK17" s="139" t="str">
        <f>FORMULARIO!U48</f>
        <v>Anular Intercalario</v>
      </c>
      <c r="CL17" s="324">
        <f>IF(CK17="","",IF(CK17="Anular Intercalario",0,INDEX(CO2:CQ13,MATCH(FORMULARIO!U18,CN2:CN13,0),MATCH(BY17,CO1:CQ1,0))))</f>
        <v>0</v>
      </c>
      <c r="CM17" s="289" t="str">
        <f>IF(CK17="","",IF(CK17="Anular Intercalario",CF6,VLOOKUP(CL17,CE7:CF10,2,FALSE)))</f>
        <v>(Según Norma UNE EN 10077-2: 2008)</v>
      </c>
    </row>
    <row r="18" spans="1:91">
      <c r="A18" s="697"/>
      <c r="B18" s="144">
        <v>12</v>
      </c>
      <c r="C18" s="305">
        <v>3.2</v>
      </c>
      <c r="D18" s="304">
        <v>3.2</v>
      </c>
      <c r="E18" s="304">
        <v>3.2</v>
      </c>
      <c r="F18" s="297">
        <v>3.1</v>
      </c>
      <c r="G18" s="297">
        <v>3.1</v>
      </c>
      <c r="H18" s="297">
        <v>3.1</v>
      </c>
      <c r="I18" s="295">
        <v>3.1</v>
      </c>
      <c r="J18" s="697"/>
      <c r="K18" s="144">
        <v>12</v>
      </c>
      <c r="L18" s="203">
        <v>3</v>
      </c>
      <c r="M18" s="204">
        <v>2.9</v>
      </c>
      <c r="N18" s="204">
        <v>2.9</v>
      </c>
      <c r="O18" s="204">
        <v>2.9</v>
      </c>
      <c r="P18" s="204">
        <v>2.9</v>
      </c>
      <c r="Q18" s="204">
        <v>2.9</v>
      </c>
      <c r="R18" s="236">
        <v>2.8</v>
      </c>
      <c r="S18" s="697"/>
      <c r="T18" s="144">
        <v>12</v>
      </c>
      <c r="U18" s="237">
        <v>2.7</v>
      </c>
      <c r="V18" s="180">
        <v>2.6</v>
      </c>
      <c r="W18" s="180">
        <v>2.6</v>
      </c>
      <c r="X18" s="180">
        <v>2.6</v>
      </c>
      <c r="Y18" s="180">
        <v>2.6</v>
      </c>
      <c r="Z18" s="180">
        <v>2.6</v>
      </c>
      <c r="AA18" s="238">
        <v>2.6</v>
      </c>
      <c r="AB18" s="697"/>
      <c r="AC18" s="144">
        <v>12</v>
      </c>
      <c r="AD18" s="183">
        <v>2.5</v>
      </c>
      <c r="AE18" s="181">
        <v>2.5</v>
      </c>
      <c r="AF18" s="181">
        <v>2.5</v>
      </c>
      <c r="AG18" s="184">
        <v>2.4</v>
      </c>
      <c r="AH18" s="184">
        <v>2.4</v>
      </c>
      <c r="AI18" s="184">
        <v>2.4</v>
      </c>
      <c r="AJ18" s="185">
        <v>2.4</v>
      </c>
      <c r="AK18" s="140"/>
      <c r="AL18" s="697"/>
      <c r="AM18" s="144">
        <v>12</v>
      </c>
      <c r="AN18" s="278"/>
      <c r="AO18" s="279"/>
      <c r="AP18" s="279"/>
      <c r="AQ18" s="279"/>
      <c r="AR18" s="281"/>
      <c r="AS18" s="281"/>
      <c r="AT18" s="280"/>
      <c r="AU18" s="697"/>
      <c r="AV18" s="144">
        <v>12</v>
      </c>
      <c r="AW18" s="278"/>
      <c r="AX18" s="279"/>
      <c r="AY18" s="279"/>
      <c r="AZ18" s="279"/>
      <c r="BA18" s="281"/>
      <c r="BB18" s="281"/>
      <c r="BC18" s="280"/>
      <c r="BD18" s="697"/>
      <c r="BE18" s="144">
        <v>12</v>
      </c>
      <c r="BF18" s="278"/>
      <c r="BG18" s="279"/>
      <c r="BH18" s="279"/>
      <c r="BI18" s="279"/>
      <c r="BJ18" s="281"/>
      <c r="BK18" s="281"/>
      <c r="BL18" s="280"/>
      <c r="BM18" s="697"/>
      <c r="BN18" s="144">
        <v>12</v>
      </c>
      <c r="BO18" s="278"/>
      <c r="BP18" s="279"/>
      <c r="BQ18" s="279"/>
      <c r="BR18" s="279"/>
      <c r="BS18" s="281"/>
      <c r="BT18" s="281"/>
      <c r="BU18" s="280"/>
      <c r="CA18" s="76">
        <f>FORMULARIO!F53</f>
        <v>0</v>
      </c>
      <c r="CC18" s="76">
        <f>FORMULARIO!J53</f>
        <v>0</v>
      </c>
      <c r="CE18" s="76">
        <f>FORMULARIO!N53</f>
        <v>0</v>
      </c>
    </row>
    <row r="19" spans="1:91">
      <c r="A19" s="697"/>
      <c r="B19" s="144">
        <v>15</v>
      </c>
      <c r="C19" s="305">
        <v>3.2</v>
      </c>
      <c r="D19" s="304">
        <v>3.2</v>
      </c>
      <c r="E19" s="297">
        <v>3.1</v>
      </c>
      <c r="F19" s="297">
        <v>3.1</v>
      </c>
      <c r="G19" s="297">
        <v>3.1</v>
      </c>
      <c r="H19" s="297">
        <v>3.1</v>
      </c>
      <c r="I19" s="295">
        <v>3.1</v>
      </c>
      <c r="J19" s="697"/>
      <c r="K19" s="144">
        <v>15</v>
      </c>
      <c r="L19" s="176">
        <v>2.9</v>
      </c>
      <c r="M19" s="204">
        <v>2.9</v>
      </c>
      <c r="N19" s="204">
        <v>2.9</v>
      </c>
      <c r="O19" s="204">
        <v>2.9</v>
      </c>
      <c r="P19" s="204">
        <v>2.9</v>
      </c>
      <c r="Q19" s="177">
        <v>2.8</v>
      </c>
      <c r="R19" s="236">
        <v>2.8</v>
      </c>
      <c r="S19" s="697"/>
      <c r="T19" s="144">
        <v>15</v>
      </c>
      <c r="U19" s="179">
        <v>2.6</v>
      </c>
      <c r="V19" s="180">
        <v>2.6</v>
      </c>
      <c r="W19" s="180">
        <v>2.6</v>
      </c>
      <c r="X19" s="180">
        <v>2.6</v>
      </c>
      <c r="Y19" s="180">
        <v>2.6</v>
      </c>
      <c r="Z19" s="180">
        <v>2.6</v>
      </c>
      <c r="AA19" s="182">
        <v>2.5</v>
      </c>
      <c r="AB19" s="697"/>
      <c r="AC19" s="144">
        <v>15</v>
      </c>
      <c r="AD19" s="183">
        <v>2.5</v>
      </c>
      <c r="AE19" s="181">
        <v>2.5</v>
      </c>
      <c r="AF19" s="184">
        <v>2.4</v>
      </c>
      <c r="AG19" s="184">
        <v>2.4</v>
      </c>
      <c r="AH19" s="184">
        <v>2.4</v>
      </c>
      <c r="AI19" s="184">
        <v>2.4</v>
      </c>
      <c r="AJ19" s="185">
        <v>2.4</v>
      </c>
      <c r="AK19" s="140"/>
      <c r="AL19" s="697"/>
      <c r="AM19" s="144">
        <v>15</v>
      </c>
      <c r="AN19" s="278"/>
      <c r="AO19" s="279"/>
      <c r="AP19" s="279"/>
      <c r="AQ19" s="281"/>
      <c r="AR19" s="281"/>
      <c r="AS19" s="281"/>
      <c r="AT19" s="280"/>
      <c r="AU19" s="697"/>
      <c r="AV19" s="144">
        <v>15</v>
      </c>
      <c r="AW19" s="278"/>
      <c r="AX19" s="279"/>
      <c r="AY19" s="279"/>
      <c r="AZ19" s="281"/>
      <c r="BA19" s="281"/>
      <c r="BB19" s="281"/>
      <c r="BC19" s="280"/>
      <c r="BD19" s="697"/>
      <c r="BE19" s="144">
        <v>15</v>
      </c>
      <c r="BF19" s="278"/>
      <c r="BG19" s="279"/>
      <c r="BH19" s="279"/>
      <c r="BI19" s="281"/>
      <c r="BJ19" s="281"/>
      <c r="BK19" s="281"/>
      <c r="BL19" s="280"/>
      <c r="BM19" s="697"/>
      <c r="BN19" s="144">
        <v>15</v>
      </c>
      <c r="BO19" s="278"/>
      <c r="BP19" s="279"/>
      <c r="BQ19" s="279"/>
      <c r="BR19" s="281"/>
      <c r="BS19" s="281"/>
      <c r="BT19" s="281"/>
      <c r="BU19" s="280"/>
      <c r="BY19" s="695" t="s">
        <v>512</v>
      </c>
      <c r="BZ19" s="695"/>
      <c r="CA19" s="695"/>
      <c r="CB19" s="695"/>
      <c r="CC19" s="695"/>
      <c r="CF19" s="288" t="s">
        <v>490</v>
      </c>
      <c r="CG19" s="139" t="e">
        <f>INDEX(BZ21:CC30,MATCH($CB$17,BY21:BY30,0),MATCH($BZ$17,BZ20:CC20,0))</f>
        <v>#N/A</v>
      </c>
      <c r="CH19" s="286" t="s">
        <v>173</v>
      </c>
      <c r="CI19" s="139" t="e">
        <f>VLOOKUP(CA17,CH27:CI33,2,FALSE)</f>
        <v>#N/A</v>
      </c>
    </row>
    <row r="20" spans="1:91" ht="13.5" thickBot="1">
      <c r="A20" s="697"/>
      <c r="B20" s="209">
        <v>19</v>
      </c>
      <c r="C20" s="298">
        <v>3.1</v>
      </c>
      <c r="D20" s="299">
        <v>3.1</v>
      </c>
      <c r="E20" s="299">
        <v>3.1</v>
      </c>
      <c r="F20" s="299">
        <v>3.1</v>
      </c>
      <c r="G20" s="299">
        <v>3.1</v>
      </c>
      <c r="H20" s="299">
        <v>3.1</v>
      </c>
      <c r="I20" s="296">
        <v>3.1</v>
      </c>
      <c r="J20" s="697"/>
      <c r="K20" s="209">
        <v>19</v>
      </c>
      <c r="L20" s="308">
        <v>2.9</v>
      </c>
      <c r="M20" s="211">
        <v>2.9</v>
      </c>
      <c r="N20" s="211">
        <v>2.9</v>
      </c>
      <c r="O20" s="248">
        <v>2.8</v>
      </c>
      <c r="P20" s="248">
        <v>2.8</v>
      </c>
      <c r="Q20" s="248">
        <v>2.8</v>
      </c>
      <c r="R20" s="212">
        <v>2.8</v>
      </c>
      <c r="S20" s="697"/>
      <c r="T20" s="209">
        <v>19</v>
      </c>
      <c r="U20" s="263">
        <v>2.6</v>
      </c>
      <c r="V20" s="250">
        <v>2.6</v>
      </c>
      <c r="W20" s="250">
        <v>2.6</v>
      </c>
      <c r="X20" s="250">
        <v>2.6</v>
      </c>
      <c r="Y20" s="250">
        <v>2.6</v>
      </c>
      <c r="Z20" s="217">
        <v>2.5</v>
      </c>
      <c r="AA20" s="251">
        <v>2.5</v>
      </c>
      <c r="AB20" s="697"/>
      <c r="AC20" s="209">
        <v>19</v>
      </c>
      <c r="AD20" s="220">
        <v>2.4</v>
      </c>
      <c r="AE20" s="218">
        <v>2.4</v>
      </c>
      <c r="AF20" s="218">
        <v>2.4</v>
      </c>
      <c r="AG20" s="218">
        <v>2.4</v>
      </c>
      <c r="AH20" s="218">
        <v>2.4</v>
      </c>
      <c r="AI20" s="218">
        <v>2.4</v>
      </c>
      <c r="AJ20" s="219">
        <v>2.4</v>
      </c>
      <c r="AK20" s="140"/>
      <c r="AL20" s="697"/>
      <c r="AM20" s="209">
        <v>19</v>
      </c>
      <c r="AN20" s="282"/>
      <c r="AO20" s="283"/>
      <c r="AP20" s="283"/>
      <c r="AQ20" s="283"/>
      <c r="AR20" s="283"/>
      <c r="AS20" s="283"/>
      <c r="AT20" s="284"/>
      <c r="AU20" s="697"/>
      <c r="AV20" s="209">
        <v>19</v>
      </c>
      <c r="AW20" s="282"/>
      <c r="AX20" s="283"/>
      <c r="AY20" s="283"/>
      <c r="AZ20" s="283"/>
      <c r="BA20" s="283"/>
      <c r="BB20" s="283"/>
      <c r="BC20" s="284"/>
      <c r="BD20" s="697"/>
      <c r="BE20" s="209">
        <v>19</v>
      </c>
      <c r="BF20" s="282"/>
      <c r="BG20" s="283"/>
      <c r="BH20" s="283"/>
      <c r="BI20" s="283"/>
      <c r="BJ20" s="283"/>
      <c r="BK20" s="283"/>
      <c r="BL20" s="284"/>
      <c r="BM20" s="697"/>
      <c r="BN20" s="209">
        <v>19</v>
      </c>
      <c r="BO20" s="282"/>
      <c r="BP20" s="283"/>
      <c r="BQ20" s="283"/>
      <c r="BR20" s="283"/>
      <c r="BS20" s="283"/>
      <c r="BT20" s="283"/>
      <c r="BU20" s="284"/>
      <c r="BZ20" s="76" t="s">
        <v>500</v>
      </c>
      <c r="CA20" s="76" t="s">
        <v>501</v>
      </c>
      <c r="CB20" s="76" t="s">
        <v>502</v>
      </c>
      <c r="CC20" s="76" t="s">
        <v>503</v>
      </c>
      <c r="CF20" s="288" t="s">
        <v>491</v>
      </c>
      <c r="CG20" s="139" t="e">
        <f>INDEX(BZ34:CC43,MATCH($CB$17,BY34:BY43,0),MATCH($BZ$17,BZ33:CC33,0))</f>
        <v>#N/A</v>
      </c>
      <c r="CH20" s="287" t="s">
        <v>174</v>
      </c>
      <c r="CI20" s="139" t="e">
        <f>VLOOKUP(BY17,CF19:CG21,2,FALSE)</f>
        <v>#N/A</v>
      </c>
    </row>
    <row r="21" spans="1:91" ht="13.5" thickBot="1">
      <c r="C21" s="696" t="s">
        <v>6</v>
      </c>
      <c r="D21" s="696"/>
      <c r="E21" s="696"/>
      <c r="F21" s="696"/>
      <c r="G21" s="696"/>
      <c r="H21" s="696"/>
      <c r="I21" s="696"/>
      <c r="L21" s="696" t="s">
        <v>6</v>
      </c>
      <c r="M21" s="696"/>
      <c r="N21" s="696"/>
      <c r="O21" s="696"/>
      <c r="P21" s="696"/>
      <c r="Q21" s="696"/>
      <c r="R21" s="696"/>
      <c r="U21" s="696" t="s">
        <v>6</v>
      </c>
      <c r="V21" s="696"/>
      <c r="W21" s="696"/>
      <c r="X21" s="696"/>
      <c r="Y21" s="696"/>
      <c r="Z21" s="696"/>
      <c r="AA21" s="696"/>
      <c r="AD21" s="696" t="s">
        <v>6</v>
      </c>
      <c r="AE21" s="696"/>
      <c r="AF21" s="696"/>
      <c r="AG21" s="696"/>
      <c r="AH21" s="696"/>
      <c r="AI21" s="696"/>
      <c r="AJ21" s="696"/>
      <c r="AK21" s="140"/>
      <c r="AN21" s="696" t="s">
        <v>6</v>
      </c>
      <c r="AO21" s="696"/>
      <c r="AP21" s="696"/>
      <c r="AQ21" s="696"/>
      <c r="AR21" s="696"/>
      <c r="AS21" s="696"/>
      <c r="AT21" s="696"/>
      <c r="AW21" s="696" t="s">
        <v>6</v>
      </c>
      <c r="AX21" s="696"/>
      <c r="AY21" s="696"/>
      <c r="AZ21" s="696"/>
      <c r="BA21" s="696"/>
      <c r="BB21" s="696"/>
      <c r="BC21" s="696"/>
      <c r="BF21" s="696" t="s">
        <v>6</v>
      </c>
      <c r="BG21" s="696"/>
      <c r="BH21" s="696"/>
      <c r="BI21" s="696"/>
      <c r="BJ21" s="696"/>
      <c r="BK21" s="696"/>
      <c r="BL21" s="696"/>
      <c r="BO21" s="696" t="s">
        <v>6</v>
      </c>
      <c r="BP21" s="696"/>
      <c r="BQ21" s="696"/>
      <c r="BR21" s="696"/>
      <c r="BS21" s="696"/>
      <c r="BT21" s="696"/>
      <c r="BU21" s="696"/>
      <c r="BY21" s="130">
        <v>6</v>
      </c>
      <c r="BZ21" s="139" t="e">
        <f>INDEX(C14:I20,MATCH($CA$17,B14:B20,0),MATCH($CC$17,C13:I13,0))</f>
        <v>#N/A</v>
      </c>
      <c r="CA21" s="139" t="e">
        <f>INDEX(L14:R20,MATCH($CA$17,K14:K20,0),MATCH($CC$17,L13:R13,0))</f>
        <v>#N/A</v>
      </c>
      <c r="CB21" s="139" t="e">
        <f>INDEX(U14:AA20,MATCH($CA$17,T14:T20,0),MATCH($CC$17,U13:AA13,0))</f>
        <v>#N/A</v>
      </c>
      <c r="CC21" s="139" t="e">
        <f>INDEX(AD14:AJ20,MATCH($CA$17,AC14:AC20,0),MATCH($CC$17,AD13:AJ13,0))</f>
        <v>#N/A</v>
      </c>
      <c r="CF21" s="288" t="s">
        <v>492</v>
      </c>
      <c r="CG21" s="139" t="e">
        <f>CG20</f>
        <v>#N/A</v>
      </c>
      <c r="CH21" s="287" t="s">
        <v>486</v>
      </c>
      <c r="CI21" s="139" t="e">
        <f>VLOOKUP(BY17,CF46:CG48,2,FALSE)</f>
        <v>#N/A</v>
      </c>
    </row>
    <row r="22" spans="1:91" ht="13.5" thickBot="1">
      <c r="B22" s="141">
        <v>8</v>
      </c>
      <c r="C22" s="142">
        <v>4</v>
      </c>
      <c r="D22" s="142">
        <v>6</v>
      </c>
      <c r="E22" s="142">
        <v>8</v>
      </c>
      <c r="F22" s="142">
        <v>10</v>
      </c>
      <c r="G22" s="142">
        <v>12</v>
      </c>
      <c r="H22" s="142">
        <v>15</v>
      </c>
      <c r="I22" s="143">
        <v>19</v>
      </c>
      <c r="K22" s="141">
        <v>8</v>
      </c>
      <c r="L22" s="142">
        <v>4</v>
      </c>
      <c r="M22" s="142">
        <v>6</v>
      </c>
      <c r="N22" s="142">
        <v>8</v>
      </c>
      <c r="O22" s="142">
        <v>10</v>
      </c>
      <c r="P22" s="142">
        <v>12</v>
      </c>
      <c r="Q22" s="142">
        <v>15</v>
      </c>
      <c r="R22" s="143">
        <v>19</v>
      </c>
      <c r="T22" s="141">
        <v>8</v>
      </c>
      <c r="U22" s="142">
        <v>4</v>
      </c>
      <c r="V22" s="142">
        <v>6</v>
      </c>
      <c r="W22" s="142">
        <v>8</v>
      </c>
      <c r="X22" s="142">
        <v>10</v>
      </c>
      <c r="Y22" s="142">
        <v>12</v>
      </c>
      <c r="Z22" s="142">
        <v>15</v>
      </c>
      <c r="AA22" s="143">
        <v>19</v>
      </c>
      <c r="AC22" s="141">
        <v>8</v>
      </c>
      <c r="AD22" s="142">
        <v>4</v>
      </c>
      <c r="AE22" s="142">
        <v>6</v>
      </c>
      <c r="AF22" s="142">
        <v>8</v>
      </c>
      <c r="AG22" s="142">
        <v>10</v>
      </c>
      <c r="AH22" s="142">
        <v>12</v>
      </c>
      <c r="AI22" s="142">
        <v>15</v>
      </c>
      <c r="AJ22" s="143">
        <v>19</v>
      </c>
      <c r="AK22" s="140"/>
      <c r="AM22" s="141">
        <v>8</v>
      </c>
      <c r="AN22" s="142">
        <v>4</v>
      </c>
      <c r="AO22" s="142">
        <v>6</v>
      </c>
      <c r="AP22" s="142">
        <v>8</v>
      </c>
      <c r="AQ22" s="142">
        <v>10</v>
      </c>
      <c r="AR22" s="142">
        <v>12</v>
      </c>
      <c r="AS22" s="142">
        <v>15</v>
      </c>
      <c r="AT22" s="143">
        <v>19</v>
      </c>
      <c r="AV22" s="141">
        <v>8</v>
      </c>
      <c r="AW22" s="142">
        <v>4</v>
      </c>
      <c r="AX22" s="142">
        <v>6</v>
      </c>
      <c r="AY22" s="142">
        <v>8</v>
      </c>
      <c r="AZ22" s="142">
        <v>10</v>
      </c>
      <c r="BA22" s="142">
        <v>12</v>
      </c>
      <c r="BB22" s="142">
        <v>15</v>
      </c>
      <c r="BC22" s="143">
        <v>19</v>
      </c>
      <c r="BE22" s="141">
        <v>8</v>
      </c>
      <c r="BF22" s="142">
        <v>4</v>
      </c>
      <c r="BG22" s="142">
        <v>6</v>
      </c>
      <c r="BH22" s="142">
        <v>8</v>
      </c>
      <c r="BI22" s="142">
        <v>10</v>
      </c>
      <c r="BJ22" s="142">
        <v>12</v>
      </c>
      <c r="BK22" s="142">
        <v>15</v>
      </c>
      <c r="BL22" s="143">
        <v>19</v>
      </c>
      <c r="BN22" s="141">
        <v>8</v>
      </c>
      <c r="BO22" s="142">
        <v>4</v>
      </c>
      <c r="BP22" s="142">
        <v>6</v>
      </c>
      <c r="BQ22" s="142">
        <v>8</v>
      </c>
      <c r="BR22" s="142">
        <v>10</v>
      </c>
      <c r="BS22" s="142">
        <v>12</v>
      </c>
      <c r="BT22" s="142">
        <v>15</v>
      </c>
      <c r="BU22" s="143">
        <v>19</v>
      </c>
      <c r="BY22" s="130">
        <v>8</v>
      </c>
      <c r="BZ22" s="139" t="e">
        <f>INDEX(C23:I29,MATCH($CA$17,B23:B29,0),MATCH($CC$17,C22:I22,0))</f>
        <v>#N/A</v>
      </c>
      <c r="CA22" s="139" t="e">
        <f>INDEX(L23:R29,MATCH($CA$17,K23:K29,0),MATCH($CC$17,L22:R22,0))</f>
        <v>#N/A</v>
      </c>
      <c r="CB22" s="139" t="e">
        <f>INDEX(U23:AA29,MATCH($CA$17,T23:T29,0),MATCH($CC$17,U22:AA22,0))</f>
        <v>#N/A</v>
      </c>
      <c r="CC22" s="139" t="e">
        <f>INDEX(AD23:AJ29,MATCH($CA$17,AC23:AC29,0),MATCH($CC$17,AD22:AJ22,0))</f>
        <v>#N/A</v>
      </c>
    </row>
    <row r="23" spans="1:91" ht="15" customHeight="1">
      <c r="A23" s="697" t="s">
        <v>5</v>
      </c>
      <c r="B23" s="144">
        <v>4</v>
      </c>
      <c r="C23" s="145">
        <v>3.1</v>
      </c>
      <c r="D23" s="146">
        <v>3.1</v>
      </c>
      <c r="E23" s="146">
        <v>3.1</v>
      </c>
      <c r="F23" s="306">
        <v>3</v>
      </c>
      <c r="G23" s="306">
        <v>3</v>
      </c>
      <c r="H23" s="306">
        <v>3</v>
      </c>
      <c r="I23" s="307">
        <v>3</v>
      </c>
      <c r="J23" s="697" t="s">
        <v>5</v>
      </c>
      <c r="K23" s="144">
        <v>4</v>
      </c>
      <c r="L23" s="147">
        <v>2.9</v>
      </c>
      <c r="M23" s="148">
        <v>2.9</v>
      </c>
      <c r="N23" s="149">
        <v>2.8</v>
      </c>
      <c r="O23" s="149">
        <v>2.8</v>
      </c>
      <c r="P23" s="149">
        <v>2.8</v>
      </c>
      <c r="Q23" s="149">
        <v>2.8</v>
      </c>
      <c r="R23" s="150">
        <v>2.7</v>
      </c>
      <c r="S23" s="697" t="s">
        <v>5</v>
      </c>
      <c r="T23" s="144">
        <v>4</v>
      </c>
      <c r="U23" s="151">
        <v>2.6</v>
      </c>
      <c r="V23" s="152">
        <v>2.6</v>
      </c>
      <c r="W23" s="152">
        <v>2.6</v>
      </c>
      <c r="X23" s="152">
        <v>2.6</v>
      </c>
      <c r="Y23" s="152">
        <v>2.6</v>
      </c>
      <c r="Z23" s="153">
        <v>2.5</v>
      </c>
      <c r="AA23" s="154">
        <v>2.5</v>
      </c>
      <c r="AB23" s="697" t="s">
        <v>5</v>
      </c>
      <c r="AC23" s="144">
        <v>4</v>
      </c>
      <c r="AD23" s="155">
        <v>2.5</v>
      </c>
      <c r="AE23" s="153">
        <v>2.5</v>
      </c>
      <c r="AF23" s="153">
        <v>2.5</v>
      </c>
      <c r="AG23" s="153">
        <v>2.5</v>
      </c>
      <c r="AH23" s="153">
        <v>2.5</v>
      </c>
      <c r="AI23" s="156">
        <v>2.4</v>
      </c>
      <c r="AJ23" s="157">
        <v>2.4</v>
      </c>
      <c r="AK23" s="140"/>
      <c r="AL23" s="697" t="s">
        <v>5</v>
      </c>
      <c r="AM23" s="144">
        <v>4</v>
      </c>
      <c r="AN23" s="158">
        <v>2.1</v>
      </c>
      <c r="AO23" s="159">
        <v>2.1</v>
      </c>
      <c r="AP23" s="159">
        <v>2.1</v>
      </c>
      <c r="AQ23" s="159">
        <v>2.1</v>
      </c>
      <c r="AR23" s="160">
        <v>2</v>
      </c>
      <c r="AS23" s="160">
        <v>2</v>
      </c>
      <c r="AT23" s="161">
        <v>2</v>
      </c>
      <c r="AU23" s="697" t="s">
        <v>5</v>
      </c>
      <c r="AV23" s="144">
        <v>4</v>
      </c>
      <c r="AW23" s="162">
        <v>1.6</v>
      </c>
      <c r="AX23" s="163">
        <v>1.6</v>
      </c>
      <c r="AY23" s="163">
        <v>1.6</v>
      </c>
      <c r="AZ23" s="163">
        <v>1.6</v>
      </c>
      <c r="BA23" s="163">
        <v>1.6</v>
      </c>
      <c r="BB23" s="163">
        <v>1.6</v>
      </c>
      <c r="BC23" s="164">
        <v>1.6</v>
      </c>
      <c r="BD23" s="697" t="s">
        <v>5</v>
      </c>
      <c r="BE23" s="144">
        <v>4</v>
      </c>
      <c r="BF23" s="165">
        <v>1.1000000000000001</v>
      </c>
      <c r="BG23" s="166">
        <v>1.1000000000000001</v>
      </c>
      <c r="BH23" s="166">
        <v>1.1000000000000001</v>
      </c>
      <c r="BI23" s="166">
        <v>1.1000000000000001</v>
      </c>
      <c r="BJ23" s="166">
        <v>1.1000000000000001</v>
      </c>
      <c r="BK23" s="166">
        <v>1.1000000000000001</v>
      </c>
      <c r="BL23" s="167">
        <v>1</v>
      </c>
      <c r="BM23" s="697" t="s">
        <v>5</v>
      </c>
      <c r="BN23" s="144">
        <v>4</v>
      </c>
      <c r="BO23" s="168">
        <v>0.9</v>
      </c>
      <c r="BP23" s="169">
        <v>0.9</v>
      </c>
      <c r="BQ23" s="170">
        <v>0.8</v>
      </c>
      <c r="BR23" s="170">
        <v>0.8</v>
      </c>
      <c r="BS23" s="170">
        <v>0.8</v>
      </c>
      <c r="BT23" s="170">
        <v>0.8</v>
      </c>
      <c r="BU23" s="171">
        <v>0.8</v>
      </c>
      <c r="BY23" s="130">
        <v>10</v>
      </c>
      <c r="BZ23" s="139" t="e">
        <f>INDEX(C32:I38,MATCH($CA$17,B32:B38,0),MATCH($CC$17,C31:I31,0))</f>
        <v>#N/A</v>
      </c>
      <c r="CA23" s="139" t="e">
        <f>INDEX(L32:R38,MATCH($CA$17,K32:K38,0),MATCH($CC$17,L31:R31,0))</f>
        <v>#N/A</v>
      </c>
      <c r="CB23" s="139" t="e">
        <f>INDEX(U32:AA38,MATCH($CA$17,T32:T38,0),MATCH($CC$17,U31:AA31,0))</f>
        <v>#N/A</v>
      </c>
      <c r="CC23" s="139" t="e">
        <f>INDEX(AD32:AJ38,MATCH($CA$17,AC32:AC38,0),MATCH($CC$17,AD31:AJ31,0))</f>
        <v>#N/A</v>
      </c>
    </row>
    <row r="24" spans="1:91">
      <c r="A24" s="697"/>
      <c r="B24" s="144">
        <v>6</v>
      </c>
      <c r="C24" s="172">
        <v>3.1</v>
      </c>
      <c r="D24" s="173">
        <v>3.1</v>
      </c>
      <c r="E24" s="174">
        <v>3</v>
      </c>
      <c r="F24" s="174">
        <v>3</v>
      </c>
      <c r="G24" s="174">
        <v>3</v>
      </c>
      <c r="H24" s="174">
        <v>3</v>
      </c>
      <c r="I24" s="175">
        <v>2.9</v>
      </c>
      <c r="J24" s="697"/>
      <c r="K24" s="144">
        <v>6</v>
      </c>
      <c r="L24" s="176">
        <v>2.9</v>
      </c>
      <c r="M24" s="177">
        <v>2.8</v>
      </c>
      <c r="N24" s="177">
        <v>2.8</v>
      </c>
      <c r="O24" s="177">
        <v>2.8</v>
      </c>
      <c r="P24" s="177">
        <v>2.8</v>
      </c>
      <c r="Q24" s="177">
        <v>2.8</v>
      </c>
      <c r="R24" s="178">
        <v>2.7</v>
      </c>
      <c r="S24" s="697"/>
      <c r="T24" s="144">
        <v>6</v>
      </c>
      <c r="U24" s="179">
        <v>2.6</v>
      </c>
      <c r="V24" s="180">
        <v>2.6</v>
      </c>
      <c r="W24" s="180">
        <v>2.6</v>
      </c>
      <c r="X24" s="180">
        <v>2.6</v>
      </c>
      <c r="Y24" s="181">
        <v>2.5</v>
      </c>
      <c r="Z24" s="181">
        <v>2.5</v>
      </c>
      <c r="AA24" s="182">
        <v>2.5</v>
      </c>
      <c r="AB24" s="697"/>
      <c r="AC24" s="144">
        <v>6</v>
      </c>
      <c r="AD24" s="183">
        <v>2.5</v>
      </c>
      <c r="AE24" s="181">
        <v>2.5</v>
      </c>
      <c r="AF24" s="181">
        <v>2.5</v>
      </c>
      <c r="AG24" s="181">
        <v>2.5</v>
      </c>
      <c r="AH24" s="181">
        <v>2.5</v>
      </c>
      <c r="AI24" s="184">
        <v>2.4</v>
      </c>
      <c r="AJ24" s="185">
        <v>2.4</v>
      </c>
      <c r="AK24" s="140"/>
      <c r="AL24" s="697"/>
      <c r="AM24" s="144">
        <v>6</v>
      </c>
      <c r="AN24" s="186">
        <v>2.1</v>
      </c>
      <c r="AO24" s="187">
        <v>2.1</v>
      </c>
      <c r="AP24" s="187">
        <v>2.1</v>
      </c>
      <c r="AQ24" s="187">
        <v>2.1</v>
      </c>
      <c r="AR24" s="188">
        <v>2</v>
      </c>
      <c r="AS24" s="188">
        <v>2</v>
      </c>
      <c r="AT24" s="189">
        <v>2</v>
      </c>
      <c r="AU24" s="697"/>
      <c r="AV24" s="144">
        <v>6</v>
      </c>
      <c r="AW24" s="190">
        <v>1.6</v>
      </c>
      <c r="AX24" s="191">
        <v>1.6</v>
      </c>
      <c r="AY24" s="191">
        <v>1.6</v>
      </c>
      <c r="AZ24" s="191">
        <v>1.6</v>
      </c>
      <c r="BA24" s="191">
        <v>1.6</v>
      </c>
      <c r="BB24" s="191">
        <v>1.6</v>
      </c>
      <c r="BC24" s="192">
        <v>1.6</v>
      </c>
      <c r="BD24" s="697"/>
      <c r="BE24" s="144">
        <v>6</v>
      </c>
      <c r="BF24" s="193">
        <v>1.1000000000000001</v>
      </c>
      <c r="BG24" s="194">
        <v>1.1000000000000001</v>
      </c>
      <c r="BH24" s="194">
        <v>1.1000000000000001</v>
      </c>
      <c r="BI24" s="194">
        <v>1.1000000000000001</v>
      </c>
      <c r="BJ24" s="194">
        <v>1.1000000000000001</v>
      </c>
      <c r="BK24" s="194">
        <v>1.1000000000000001</v>
      </c>
      <c r="BL24" s="195">
        <v>1</v>
      </c>
      <c r="BM24" s="697"/>
      <c r="BN24" s="144">
        <v>6</v>
      </c>
      <c r="BO24" s="196">
        <v>0.9</v>
      </c>
      <c r="BP24" s="197">
        <v>0.8</v>
      </c>
      <c r="BQ24" s="197">
        <v>0.8</v>
      </c>
      <c r="BR24" s="197">
        <v>0.8</v>
      </c>
      <c r="BS24" s="197">
        <v>0.8</v>
      </c>
      <c r="BT24" s="197">
        <v>0.8</v>
      </c>
      <c r="BU24" s="198">
        <v>0.8</v>
      </c>
      <c r="BY24" s="130">
        <v>12</v>
      </c>
      <c r="BZ24" s="139" t="e">
        <f>INDEX(C41:I47,MATCH($CA$17,B41:B47,0),MATCH($CC$17,C40:I40,0))</f>
        <v>#N/A</v>
      </c>
      <c r="CA24" s="139" t="e">
        <f>INDEX(L41:R47,MATCH($CA$17,K41:K47,0),MATCH($CC$17,L40:R40,0))</f>
        <v>#N/A</v>
      </c>
      <c r="CB24" s="139" t="e">
        <f>INDEX(U41:AA47,MATCH($CA$17,T41:T47,0),MATCH($CC$17,U40:AA40,0))</f>
        <v>#N/A</v>
      </c>
      <c r="CC24" s="139" t="e">
        <f>INDEX(AD41:AJ47,MATCH($CA$17,AC41:AC47,0),MATCH($CC$17,AD40:AJ40,0))</f>
        <v>#N/A</v>
      </c>
    </row>
    <row r="25" spans="1:91">
      <c r="A25" s="697"/>
      <c r="B25" s="144">
        <v>8</v>
      </c>
      <c r="C25" s="172">
        <v>3.1</v>
      </c>
      <c r="D25" s="174">
        <v>3</v>
      </c>
      <c r="E25" s="174">
        <v>3</v>
      </c>
      <c r="F25" s="174">
        <v>3</v>
      </c>
      <c r="G25" s="174">
        <v>3</v>
      </c>
      <c r="H25" s="174">
        <v>3</v>
      </c>
      <c r="I25" s="175">
        <v>2.9</v>
      </c>
      <c r="J25" s="697"/>
      <c r="K25" s="144">
        <v>8</v>
      </c>
      <c r="L25" s="199">
        <v>2.8</v>
      </c>
      <c r="M25" s="177">
        <v>2.8</v>
      </c>
      <c r="N25" s="177">
        <v>2.8</v>
      </c>
      <c r="O25" s="177">
        <v>2.8</v>
      </c>
      <c r="P25" s="177">
        <v>2.8</v>
      </c>
      <c r="Q25" s="200">
        <v>2.7</v>
      </c>
      <c r="R25" s="178">
        <v>2.7</v>
      </c>
      <c r="S25" s="697"/>
      <c r="T25" s="144">
        <v>8</v>
      </c>
      <c r="U25" s="179">
        <v>2.6</v>
      </c>
      <c r="V25" s="180">
        <v>2.6</v>
      </c>
      <c r="W25" s="180">
        <v>2.6</v>
      </c>
      <c r="X25" s="181">
        <v>2.5</v>
      </c>
      <c r="Y25" s="181">
        <v>2.5</v>
      </c>
      <c r="Z25" s="181">
        <v>2.5</v>
      </c>
      <c r="AA25" s="182">
        <v>2.5</v>
      </c>
      <c r="AB25" s="697"/>
      <c r="AC25" s="144">
        <v>8</v>
      </c>
      <c r="AD25" s="183">
        <v>2.5</v>
      </c>
      <c r="AE25" s="181">
        <v>2.5</v>
      </c>
      <c r="AF25" s="181">
        <v>2.5</v>
      </c>
      <c r="AG25" s="181">
        <v>2.5</v>
      </c>
      <c r="AH25" s="184">
        <v>2.4</v>
      </c>
      <c r="AI25" s="184">
        <v>2.4</v>
      </c>
      <c r="AJ25" s="185">
        <v>2.4</v>
      </c>
      <c r="AK25" s="140"/>
      <c r="AL25" s="697"/>
      <c r="AM25" s="144">
        <v>8</v>
      </c>
      <c r="AN25" s="186">
        <v>2.1</v>
      </c>
      <c r="AO25" s="187">
        <v>2.1</v>
      </c>
      <c r="AP25" s="187">
        <v>2.1</v>
      </c>
      <c r="AQ25" s="188">
        <v>2</v>
      </c>
      <c r="AR25" s="188">
        <v>2</v>
      </c>
      <c r="AS25" s="188">
        <v>2</v>
      </c>
      <c r="AT25" s="189">
        <v>2</v>
      </c>
      <c r="AU25" s="697"/>
      <c r="AV25" s="144">
        <v>8</v>
      </c>
      <c r="AW25" s="190">
        <v>1.6</v>
      </c>
      <c r="AX25" s="191">
        <v>1.6</v>
      </c>
      <c r="AY25" s="191">
        <v>1.6</v>
      </c>
      <c r="AZ25" s="191">
        <v>1.6</v>
      </c>
      <c r="BA25" s="191">
        <v>1.6</v>
      </c>
      <c r="BB25" s="191">
        <v>1.6</v>
      </c>
      <c r="BC25" s="192">
        <v>1.6</v>
      </c>
      <c r="BD25" s="697"/>
      <c r="BE25" s="144">
        <v>8</v>
      </c>
      <c r="BF25" s="193">
        <v>1.1000000000000001</v>
      </c>
      <c r="BG25" s="194">
        <v>1.1000000000000001</v>
      </c>
      <c r="BH25" s="194">
        <v>1.1000000000000001</v>
      </c>
      <c r="BI25" s="194">
        <v>1.1000000000000001</v>
      </c>
      <c r="BJ25" s="194">
        <v>1.1000000000000001</v>
      </c>
      <c r="BK25" s="201">
        <v>1</v>
      </c>
      <c r="BL25" s="195">
        <v>1</v>
      </c>
      <c r="BM25" s="697"/>
      <c r="BN25" s="144">
        <v>8</v>
      </c>
      <c r="BO25" s="202">
        <v>0.8</v>
      </c>
      <c r="BP25" s="197">
        <v>0.8</v>
      </c>
      <c r="BQ25" s="197">
        <v>0.8</v>
      </c>
      <c r="BR25" s="197">
        <v>0.8</v>
      </c>
      <c r="BS25" s="197">
        <v>0.8</v>
      </c>
      <c r="BT25" s="197">
        <v>0.8</v>
      </c>
      <c r="BU25" s="198">
        <v>0.8</v>
      </c>
      <c r="BY25" s="130">
        <v>14</v>
      </c>
      <c r="BZ25" s="139" t="e">
        <f>INDEX(C50:I56,MATCH($CA$17,B50:B56,0),MATCH($CC$17,C49:I49,0))</f>
        <v>#N/A</v>
      </c>
      <c r="CA25" s="139" t="e">
        <f>INDEX(L50:R56,MATCH($CA$17,K50:K56,0),MATCH($CC$17,L49:R49,0))</f>
        <v>#N/A</v>
      </c>
      <c r="CB25" s="139" t="e">
        <f>INDEX(U50:AA56,MATCH($CA$17,T50:T56,0),MATCH($CC$17,U49:AA49,0))</f>
        <v>#N/A</v>
      </c>
      <c r="CC25" s="139" t="e">
        <f>INDEX(AD50:AJ56,MATCH($CA$17,AC50:AC56,0),MATCH($CC$17,AD49:AJ49,0))</f>
        <v>#N/A</v>
      </c>
      <c r="CH25" s="706" t="s">
        <v>1</v>
      </c>
      <c r="CI25" s="706"/>
    </row>
    <row r="26" spans="1:91">
      <c r="A26" s="697"/>
      <c r="B26" s="144">
        <v>10</v>
      </c>
      <c r="C26" s="203">
        <v>3</v>
      </c>
      <c r="D26" s="174">
        <v>3</v>
      </c>
      <c r="E26" s="174">
        <v>3</v>
      </c>
      <c r="F26" s="174">
        <v>3</v>
      </c>
      <c r="G26" s="174">
        <v>3</v>
      </c>
      <c r="H26" s="204">
        <v>2.9</v>
      </c>
      <c r="I26" s="175">
        <v>2.9</v>
      </c>
      <c r="J26" s="697"/>
      <c r="K26" s="144">
        <v>10</v>
      </c>
      <c r="L26" s="199">
        <v>2.8</v>
      </c>
      <c r="M26" s="177">
        <v>2.8</v>
      </c>
      <c r="N26" s="177">
        <v>2.8</v>
      </c>
      <c r="O26" s="177">
        <v>2.8</v>
      </c>
      <c r="P26" s="177">
        <v>2.8</v>
      </c>
      <c r="Q26" s="200">
        <v>2.7</v>
      </c>
      <c r="R26" s="178">
        <v>2.7</v>
      </c>
      <c r="S26" s="697"/>
      <c r="T26" s="144">
        <v>10</v>
      </c>
      <c r="U26" s="179">
        <v>2.6</v>
      </c>
      <c r="V26" s="180">
        <v>2.6</v>
      </c>
      <c r="W26" s="181">
        <v>2.5</v>
      </c>
      <c r="X26" s="181">
        <v>2.5</v>
      </c>
      <c r="Y26" s="181">
        <v>2.5</v>
      </c>
      <c r="Z26" s="181">
        <v>2.5</v>
      </c>
      <c r="AA26" s="182">
        <v>2.5</v>
      </c>
      <c r="AB26" s="697"/>
      <c r="AC26" s="144">
        <v>10</v>
      </c>
      <c r="AD26" s="183">
        <v>2.5</v>
      </c>
      <c r="AE26" s="181">
        <v>2.5</v>
      </c>
      <c r="AF26" s="181">
        <v>2.5</v>
      </c>
      <c r="AG26" s="184">
        <v>2.4</v>
      </c>
      <c r="AH26" s="184">
        <v>2.4</v>
      </c>
      <c r="AI26" s="184">
        <v>2.4</v>
      </c>
      <c r="AJ26" s="185">
        <v>2.4</v>
      </c>
      <c r="AK26" s="140"/>
      <c r="AL26" s="697"/>
      <c r="AM26" s="144">
        <v>10</v>
      </c>
      <c r="AN26" s="186">
        <v>2.1</v>
      </c>
      <c r="AO26" s="187">
        <v>2.1</v>
      </c>
      <c r="AP26" s="188">
        <v>2</v>
      </c>
      <c r="AQ26" s="188">
        <v>2</v>
      </c>
      <c r="AR26" s="188">
        <v>2</v>
      </c>
      <c r="AS26" s="188">
        <v>2</v>
      </c>
      <c r="AT26" s="189">
        <v>2</v>
      </c>
      <c r="AU26" s="697"/>
      <c r="AV26" s="144">
        <v>10</v>
      </c>
      <c r="AW26" s="190">
        <v>1.6</v>
      </c>
      <c r="AX26" s="191">
        <v>1.6</v>
      </c>
      <c r="AY26" s="191">
        <v>1.6</v>
      </c>
      <c r="AZ26" s="191">
        <v>1.6</v>
      </c>
      <c r="BA26" s="191">
        <v>1.6</v>
      </c>
      <c r="BB26" s="191">
        <v>1.6</v>
      </c>
      <c r="BC26" s="192">
        <v>1.6</v>
      </c>
      <c r="BD26" s="697"/>
      <c r="BE26" s="144">
        <v>10</v>
      </c>
      <c r="BF26" s="193">
        <v>1.1000000000000001</v>
      </c>
      <c r="BG26" s="194">
        <v>1.1000000000000001</v>
      </c>
      <c r="BH26" s="194">
        <v>1.1000000000000001</v>
      </c>
      <c r="BI26" s="194">
        <v>1.1000000000000001</v>
      </c>
      <c r="BJ26" s="201">
        <v>1</v>
      </c>
      <c r="BK26" s="201">
        <v>1</v>
      </c>
      <c r="BL26" s="195">
        <v>1</v>
      </c>
      <c r="BM26" s="697"/>
      <c r="BN26" s="144">
        <v>10</v>
      </c>
      <c r="BO26" s="202">
        <v>0.8</v>
      </c>
      <c r="BP26" s="197">
        <v>0.8</v>
      </c>
      <c r="BQ26" s="197">
        <v>0.8</v>
      </c>
      <c r="BR26" s="197">
        <v>0.8</v>
      </c>
      <c r="BS26" s="197">
        <v>0.8</v>
      </c>
      <c r="BT26" s="197">
        <v>0.8</v>
      </c>
      <c r="BU26" s="198">
        <v>0.8</v>
      </c>
      <c r="BY26" s="130">
        <v>16</v>
      </c>
      <c r="BZ26" s="139" t="e">
        <f>INDEX(C59:I65,MATCH($CA$17,B59:B65,0),MATCH($CC$17,C58:I58,0))</f>
        <v>#N/A</v>
      </c>
      <c r="CA26" s="139" t="e">
        <f>INDEX(L59:R65,MATCH($CA$17,K59:K65,0),MATCH($CC$17,L58:R58,0))</f>
        <v>#N/A</v>
      </c>
      <c r="CB26" s="139" t="e">
        <f>INDEX(U59:AA65,MATCH($CA$17,T59:T65,0),MATCH($CC$17,U58:AA58,0))</f>
        <v>#N/A</v>
      </c>
      <c r="CC26" s="139" t="e">
        <f>INDEX(AD59:AJ65,MATCH($CA$17,AC59:AC65,0),MATCH($CC$17,AD58:AJ58,0))</f>
        <v>#N/A</v>
      </c>
      <c r="CE26" s="139" t="s">
        <v>570</v>
      </c>
      <c r="CH26" s="698" t="s">
        <v>456</v>
      </c>
      <c r="CI26" s="698"/>
    </row>
    <row r="27" spans="1:91">
      <c r="A27" s="697"/>
      <c r="B27" s="144">
        <v>12</v>
      </c>
      <c r="C27" s="203">
        <v>3</v>
      </c>
      <c r="D27" s="174">
        <v>3</v>
      </c>
      <c r="E27" s="174">
        <v>3</v>
      </c>
      <c r="F27" s="174">
        <v>3</v>
      </c>
      <c r="G27" s="204">
        <v>2.9</v>
      </c>
      <c r="H27" s="204">
        <v>2.9</v>
      </c>
      <c r="I27" s="175">
        <v>2.9</v>
      </c>
      <c r="J27" s="697"/>
      <c r="K27" s="144">
        <v>12</v>
      </c>
      <c r="L27" s="199">
        <v>2.8</v>
      </c>
      <c r="M27" s="177">
        <v>2.8</v>
      </c>
      <c r="N27" s="177">
        <v>2.8</v>
      </c>
      <c r="O27" s="177">
        <v>2.8</v>
      </c>
      <c r="P27" s="200">
        <v>2.7</v>
      </c>
      <c r="Q27" s="200">
        <v>2.7</v>
      </c>
      <c r="R27" s="178">
        <v>2.7</v>
      </c>
      <c r="S27" s="697"/>
      <c r="T27" s="144">
        <v>12</v>
      </c>
      <c r="U27" s="179">
        <v>2.6</v>
      </c>
      <c r="V27" s="181">
        <v>2.5</v>
      </c>
      <c r="W27" s="181">
        <v>2.5</v>
      </c>
      <c r="X27" s="181">
        <v>2.5</v>
      </c>
      <c r="Y27" s="181">
        <v>2.5</v>
      </c>
      <c r="Z27" s="181">
        <v>2.5</v>
      </c>
      <c r="AA27" s="182">
        <v>2.5</v>
      </c>
      <c r="AB27" s="697"/>
      <c r="AC27" s="144">
        <v>12</v>
      </c>
      <c r="AD27" s="183">
        <v>2.5</v>
      </c>
      <c r="AE27" s="181">
        <v>2.5</v>
      </c>
      <c r="AF27" s="184">
        <v>2.4</v>
      </c>
      <c r="AG27" s="184">
        <v>2.4</v>
      </c>
      <c r="AH27" s="184">
        <v>2.4</v>
      </c>
      <c r="AI27" s="184">
        <v>2.4</v>
      </c>
      <c r="AJ27" s="185">
        <v>2.4</v>
      </c>
      <c r="AK27" s="140"/>
      <c r="AL27" s="697"/>
      <c r="AM27" s="144">
        <v>12</v>
      </c>
      <c r="AN27" s="205"/>
      <c r="AO27" s="206"/>
      <c r="AP27" s="206"/>
      <c r="AQ27" s="206"/>
      <c r="AR27" s="206"/>
      <c r="AS27" s="206"/>
      <c r="AT27" s="207"/>
      <c r="AU27" s="697"/>
      <c r="AV27" s="144">
        <v>12</v>
      </c>
      <c r="AW27" s="205"/>
      <c r="AX27" s="206"/>
      <c r="AY27" s="206"/>
      <c r="AZ27" s="206"/>
      <c r="BA27" s="206"/>
      <c r="BB27" s="206"/>
      <c r="BC27" s="207"/>
      <c r="BD27" s="697"/>
      <c r="BE27" s="144">
        <v>12</v>
      </c>
      <c r="BF27" s="205"/>
      <c r="BG27" s="206"/>
      <c r="BH27" s="206"/>
      <c r="BI27" s="206"/>
      <c r="BJ27" s="206"/>
      <c r="BK27" s="206"/>
      <c r="BL27" s="207"/>
      <c r="BM27" s="697"/>
      <c r="BN27" s="144">
        <v>12</v>
      </c>
      <c r="BO27" s="205"/>
      <c r="BP27" s="206"/>
      <c r="BQ27" s="206"/>
      <c r="BR27" s="206"/>
      <c r="BS27" s="206"/>
      <c r="BT27" s="206"/>
      <c r="BU27" s="207"/>
      <c r="BY27" s="130">
        <v>18</v>
      </c>
      <c r="BZ27" s="139" t="e">
        <f>INDEX(C68:I74,MATCH($CA$17,B68:B74,0),MATCH($CC$17,C67:I67,0))</f>
        <v>#N/A</v>
      </c>
      <c r="CA27" s="139" t="e">
        <f>INDEX(L68:R74,MATCH($CA$17,K68:K74,0),MATCH($CC$17,L67:R67,0))</f>
        <v>#N/A</v>
      </c>
      <c r="CB27" s="139" t="e">
        <f>INDEX(U68:AA74,MATCH($CA$17,T68:T74,0),MATCH($CC$17,U67:AA67,0))</f>
        <v>#N/A</v>
      </c>
      <c r="CC27" s="139" t="e">
        <f>INDEX(AD68:AJ74,MATCH($CA$17,AC68:AC74,0),MATCH($CC$17,AD67:AJ67,0))</f>
        <v>#N/A</v>
      </c>
      <c r="CE27" s="144">
        <v>4</v>
      </c>
      <c r="CF27" s="139">
        <v>4</v>
      </c>
      <c r="CH27" s="144">
        <v>4</v>
      </c>
      <c r="CI27" s="207">
        <v>5.8</v>
      </c>
    </row>
    <row r="28" spans="1:91">
      <c r="A28" s="697"/>
      <c r="B28" s="144">
        <v>15</v>
      </c>
      <c r="C28" s="203">
        <v>3</v>
      </c>
      <c r="D28" s="174">
        <v>3</v>
      </c>
      <c r="E28" s="174">
        <v>3</v>
      </c>
      <c r="F28" s="204">
        <v>2.9</v>
      </c>
      <c r="G28" s="204">
        <v>2.9</v>
      </c>
      <c r="H28" s="204">
        <v>2.9</v>
      </c>
      <c r="I28" s="175">
        <v>2.9</v>
      </c>
      <c r="J28" s="697"/>
      <c r="K28" s="144">
        <v>15</v>
      </c>
      <c r="L28" s="199">
        <v>2.8</v>
      </c>
      <c r="M28" s="177">
        <v>2.8</v>
      </c>
      <c r="N28" s="200">
        <v>2.7</v>
      </c>
      <c r="O28" s="200">
        <v>2.7</v>
      </c>
      <c r="P28" s="200">
        <v>2.7</v>
      </c>
      <c r="Q28" s="200">
        <v>2.7</v>
      </c>
      <c r="R28" s="178">
        <v>2.7</v>
      </c>
      <c r="S28" s="697"/>
      <c r="T28" s="144">
        <v>15</v>
      </c>
      <c r="U28" s="183">
        <v>2.5</v>
      </c>
      <c r="V28" s="181">
        <v>2.5</v>
      </c>
      <c r="W28" s="181">
        <v>2.5</v>
      </c>
      <c r="X28" s="181">
        <v>2.5</v>
      </c>
      <c r="Y28" s="181">
        <v>2.5</v>
      </c>
      <c r="Z28" s="181">
        <v>2.5</v>
      </c>
      <c r="AA28" s="185">
        <v>2.4</v>
      </c>
      <c r="AB28" s="697"/>
      <c r="AC28" s="144">
        <v>15</v>
      </c>
      <c r="AD28" s="208">
        <v>2.4</v>
      </c>
      <c r="AE28" s="184">
        <v>2.4</v>
      </c>
      <c r="AF28" s="184">
        <v>2.4</v>
      </c>
      <c r="AG28" s="184">
        <v>2.4</v>
      </c>
      <c r="AH28" s="184">
        <v>2.4</v>
      </c>
      <c r="AI28" s="184">
        <v>2.4</v>
      </c>
      <c r="AJ28" s="185">
        <v>2.4</v>
      </c>
      <c r="AK28" s="140"/>
      <c r="AL28" s="697"/>
      <c r="AM28" s="144">
        <v>15</v>
      </c>
      <c r="AN28" s="205"/>
      <c r="AO28" s="206"/>
      <c r="AP28" s="206"/>
      <c r="AQ28" s="206"/>
      <c r="AR28" s="206"/>
      <c r="AS28" s="206"/>
      <c r="AT28" s="207"/>
      <c r="AU28" s="697"/>
      <c r="AV28" s="144">
        <v>15</v>
      </c>
      <c r="AW28" s="205"/>
      <c r="AX28" s="206"/>
      <c r="AY28" s="206"/>
      <c r="AZ28" s="206"/>
      <c r="BA28" s="206"/>
      <c r="BB28" s="206"/>
      <c r="BC28" s="207"/>
      <c r="BD28" s="697"/>
      <c r="BE28" s="144">
        <v>15</v>
      </c>
      <c r="BF28" s="205"/>
      <c r="BG28" s="206"/>
      <c r="BH28" s="206"/>
      <c r="BI28" s="206"/>
      <c r="BJ28" s="206"/>
      <c r="BK28" s="206"/>
      <c r="BL28" s="207"/>
      <c r="BM28" s="697"/>
      <c r="BN28" s="144">
        <v>15</v>
      </c>
      <c r="BO28" s="205"/>
      <c r="BP28" s="206"/>
      <c r="BQ28" s="206"/>
      <c r="BR28" s="206"/>
      <c r="BS28" s="206"/>
      <c r="BT28" s="206"/>
      <c r="BU28" s="207"/>
      <c r="BY28" s="130">
        <v>20</v>
      </c>
      <c r="BZ28" s="139" t="e">
        <f>INDEX(C77:I83,MATCH($CA$17,B77:B83,0),MATCH($CC$17,C76:I76,0))</f>
        <v>#N/A</v>
      </c>
      <c r="CA28" s="139" t="e">
        <f>INDEX(L77:R83,MATCH($CA$17,K77:K83,0),MATCH($CC$17,L76:R76,0))</f>
        <v>#N/A</v>
      </c>
      <c r="CB28" s="139" t="e">
        <f>INDEX(U77:AA83,MATCH($CA$17,T77:T83,0),MATCH($CC$17,U76:AA76,0))</f>
        <v>#N/A</v>
      </c>
      <c r="CC28" s="139" t="e">
        <f>INDEX(AD77:AJ83,MATCH($CA$17,AC77:AC83,0),MATCH($CC$17,AD76:AJ76,0))</f>
        <v>#N/A</v>
      </c>
      <c r="CE28" s="144">
        <v>6</v>
      </c>
      <c r="CF28" s="139">
        <v>6</v>
      </c>
      <c r="CH28" s="144">
        <v>6</v>
      </c>
      <c r="CI28" s="207">
        <v>5.7</v>
      </c>
      <c r="CL28" s="139" t="s">
        <v>173</v>
      </c>
      <c r="CM28" s="139" t="e">
        <f>"Monolitico de "&amp;CA17</f>
        <v>#N/A</v>
      </c>
    </row>
    <row r="29" spans="1:91" ht="13.5" thickBot="1">
      <c r="A29" s="697"/>
      <c r="B29" s="209">
        <v>19</v>
      </c>
      <c r="C29" s="210">
        <v>3</v>
      </c>
      <c r="D29" s="211">
        <v>2.9</v>
      </c>
      <c r="E29" s="211">
        <v>2.9</v>
      </c>
      <c r="F29" s="211">
        <v>2.9</v>
      </c>
      <c r="G29" s="211">
        <v>2.9</v>
      </c>
      <c r="H29" s="211">
        <v>2.9</v>
      </c>
      <c r="I29" s="212">
        <v>2.8</v>
      </c>
      <c r="J29" s="697"/>
      <c r="K29" s="209">
        <v>19</v>
      </c>
      <c r="L29" s="213">
        <v>2.7</v>
      </c>
      <c r="M29" s="214">
        <v>2.7</v>
      </c>
      <c r="N29" s="214">
        <v>2.7</v>
      </c>
      <c r="O29" s="214">
        <v>2.7</v>
      </c>
      <c r="P29" s="214">
        <v>2.7</v>
      </c>
      <c r="Q29" s="214">
        <v>2.7</v>
      </c>
      <c r="R29" s="215">
        <v>2.6</v>
      </c>
      <c r="S29" s="697"/>
      <c r="T29" s="209">
        <v>19</v>
      </c>
      <c r="U29" s="216">
        <v>2.5</v>
      </c>
      <c r="V29" s="217">
        <v>2.5</v>
      </c>
      <c r="W29" s="217">
        <v>2.5</v>
      </c>
      <c r="X29" s="217">
        <v>2.5</v>
      </c>
      <c r="Y29" s="217">
        <v>2.5</v>
      </c>
      <c r="Z29" s="218">
        <v>2.4</v>
      </c>
      <c r="AA29" s="219">
        <v>2.4</v>
      </c>
      <c r="AB29" s="697"/>
      <c r="AC29" s="209">
        <v>19</v>
      </c>
      <c r="AD29" s="220">
        <v>2.4</v>
      </c>
      <c r="AE29" s="218">
        <v>2.4</v>
      </c>
      <c r="AF29" s="218">
        <v>2.4</v>
      </c>
      <c r="AG29" s="218">
        <v>2.4</v>
      </c>
      <c r="AH29" s="218">
        <v>2.4</v>
      </c>
      <c r="AI29" s="218">
        <v>2.4</v>
      </c>
      <c r="AJ29" s="221">
        <v>2.2999999999999998</v>
      </c>
      <c r="AK29" s="140"/>
      <c r="AL29" s="697"/>
      <c r="AM29" s="209">
        <v>19</v>
      </c>
      <c r="AN29" s="222"/>
      <c r="AO29" s="223"/>
      <c r="AP29" s="223"/>
      <c r="AQ29" s="223"/>
      <c r="AR29" s="223"/>
      <c r="AS29" s="223"/>
      <c r="AT29" s="224"/>
      <c r="AU29" s="697"/>
      <c r="AV29" s="209">
        <v>19</v>
      </c>
      <c r="AW29" s="222"/>
      <c r="AX29" s="223"/>
      <c r="AY29" s="223"/>
      <c r="AZ29" s="223"/>
      <c r="BA29" s="223"/>
      <c r="BB29" s="223"/>
      <c r="BC29" s="224"/>
      <c r="BD29" s="697"/>
      <c r="BE29" s="209">
        <v>19</v>
      </c>
      <c r="BF29" s="222"/>
      <c r="BG29" s="223"/>
      <c r="BH29" s="223"/>
      <c r="BI29" s="223"/>
      <c r="BJ29" s="223"/>
      <c r="BK29" s="223"/>
      <c r="BL29" s="224"/>
      <c r="BM29" s="697"/>
      <c r="BN29" s="209">
        <v>19</v>
      </c>
      <c r="BO29" s="222"/>
      <c r="BP29" s="223"/>
      <c r="BQ29" s="223"/>
      <c r="BR29" s="223"/>
      <c r="BS29" s="223"/>
      <c r="BT29" s="223"/>
      <c r="BU29" s="224"/>
      <c r="BY29" s="130">
        <v>22</v>
      </c>
      <c r="BZ29" s="139" t="e">
        <f>INDEX(C86:I92,MATCH($CA$17,B86:B92,0),MATCH($CC$17,C85:I85,0))</f>
        <v>#N/A</v>
      </c>
      <c r="CA29" s="139" t="e">
        <f>INDEX(L86:R92,MATCH($CA$17,K86:K92,0),MATCH($CC$17,L85:R85,0))</f>
        <v>#N/A</v>
      </c>
      <c r="CB29" s="139" t="e">
        <f>INDEX(U86:AA92,MATCH($CA$17,T86:T92,0),MATCH($CC$17,U85:AA85,0))</f>
        <v>#N/A</v>
      </c>
      <c r="CC29" s="139" t="e">
        <f>INDEX(AD86:AJ92,MATCH($CA$17,AC86:AC92,0),MATCH($CC$17,AD85:AJ85,0))</f>
        <v>#N/A</v>
      </c>
      <c r="CE29" s="144">
        <v>33.1</v>
      </c>
      <c r="CF29" s="139">
        <v>6</v>
      </c>
      <c r="CH29" s="144">
        <v>33.1</v>
      </c>
      <c r="CI29" s="207">
        <v>5.7</v>
      </c>
      <c r="CL29" s="139" t="s">
        <v>174</v>
      </c>
      <c r="CM29" s="462" t="str">
        <f>"Doble Vidrio "&amp;BY17&amp;" "&amp;CA18&amp;"/"&amp;CB17&amp;IF(BZ17="Aire","/"," "&amp;BZ17&amp;"/")&amp;CC18</f>
        <v>Doble Vidrio 0 0/0 0/0</v>
      </c>
    </row>
    <row r="30" spans="1:91" ht="13.5" thickBot="1">
      <c r="C30" s="696" t="s">
        <v>6</v>
      </c>
      <c r="D30" s="696"/>
      <c r="E30" s="696"/>
      <c r="F30" s="696"/>
      <c r="G30" s="696"/>
      <c r="H30" s="696"/>
      <c r="I30" s="696"/>
      <c r="L30" s="696" t="s">
        <v>6</v>
      </c>
      <c r="M30" s="696"/>
      <c r="N30" s="696"/>
      <c r="O30" s="696"/>
      <c r="P30" s="696"/>
      <c r="Q30" s="696"/>
      <c r="R30" s="696"/>
      <c r="U30" s="696" t="s">
        <v>6</v>
      </c>
      <c r="V30" s="696"/>
      <c r="W30" s="696"/>
      <c r="X30" s="696"/>
      <c r="Y30" s="696"/>
      <c r="Z30" s="696"/>
      <c r="AA30" s="696"/>
      <c r="AD30" s="696" t="s">
        <v>6</v>
      </c>
      <c r="AE30" s="696"/>
      <c r="AF30" s="696"/>
      <c r="AG30" s="696"/>
      <c r="AH30" s="696"/>
      <c r="AI30" s="696"/>
      <c r="AJ30" s="696"/>
      <c r="AK30" s="140"/>
      <c r="AN30" s="696" t="s">
        <v>6</v>
      </c>
      <c r="AO30" s="696"/>
      <c r="AP30" s="696"/>
      <c r="AQ30" s="696"/>
      <c r="AR30" s="696"/>
      <c r="AS30" s="696"/>
      <c r="AT30" s="696"/>
      <c r="AW30" s="696" t="s">
        <v>6</v>
      </c>
      <c r="AX30" s="696"/>
      <c r="AY30" s="696"/>
      <c r="AZ30" s="696"/>
      <c r="BA30" s="696"/>
      <c r="BB30" s="696"/>
      <c r="BC30" s="696"/>
      <c r="BF30" s="696" t="s">
        <v>6</v>
      </c>
      <c r="BG30" s="696"/>
      <c r="BH30" s="696"/>
      <c r="BI30" s="696"/>
      <c r="BJ30" s="696"/>
      <c r="BK30" s="696"/>
      <c r="BL30" s="696"/>
      <c r="BO30" s="696" t="s">
        <v>6</v>
      </c>
      <c r="BP30" s="696"/>
      <c r="BQ30" s="696"/>
      <c r="BR30" s="696"/>
      <c r="BS30" s="696"/>
      <c r="BT30" s="696"/>
      <c r="BU30" s="696"/>
      <c r="BY30" s="130">
        <v>24</v>
      </c>
      <c r="BZ30" s="139" t="e">
        <f>INDEX(C95:I101,MATCH($CA$17,B95:B101,0),MATCH($CC$17,C94:I94,0))</f>
        <v>#N/A</v>
      </c>
      <c r="CA30" s="139" t="e">
        <f>INDEX(L95:R101,MATCH($CA$17,K95:K101,0),MATCH($CC$17,L94:R94,0))</f>
        <v>#N/A</v>
      </c>
      <c r="CB30" s="139" t="e">
        <f>INDEX(U95:AA101,MATCH($CA$17,T95:T101,0),MATCH($CC$17,U94:AA94,0))</f>
        <v>#N/A</v>
      </c>
      <c r="CC30" s="139" t="e">
        <f>INDEX(AD95:AJ101,MATCH($CA$17,AC95:AC101,0),MATCH($CC$17,AD94:AJ94,0))</f>
        <v>#N/A</v>
      </c>
      <c r="CE30" s="144">
        <v>8</v>
      </c>
      <c r="CF30" s="139">
        <v>8</v>
      </c>
      <c r="CH30" s="144">
        <v>8</v>
      </c>
      <c r="CI30" s="207">
        <v>5.7</v>
      </c>
      <c r="CL30" s="76" t="s">
        <v>486</v>
      </c>
      <c r="CM30" s="462" t="e">
        <f>"Triple Vidrio "&amp;BY17&amp;" "&amp;CA17&amp;"/"&amp;CB17&amp;IF(BZ17="Aire","/"," "&amp;BZ17&amp;"/")&amp;CC17&amp;"/"&amp;CD17&amp;IF(BZ17="Aire","/"," "&amp;BZ17&amp;"/")&amp;CE17</f>
        <v>#N/A</v>
      </c>
    </row>
    <row r="31" spans="1:91" ht="13.5" thickBot="1">
      <c r="B31" s="141">
        <v>10</v>
      </c>
      <c r="C31" s="142">
        <v>4</v>
      </c>
      <c r="D31" s="142">
        <v>6</v>
      </c>
      <c r="E31" s="142">
        <v>8</v>
      </c>
      <c r="F31" s="142">
        <v>10</v>
      </c>
      <c r="G31" s="142">
        <v>12</v>
      </c>
      <c r="H31" s="142">
        <v>15</v>
      </c>
      <c r="I31" s="143">
        <v>19</v>
      </c>
      <c r="K31" s="141">
        <v>10</v>
      </c>
      <c r="L31" s="142">
        <v>4</v>
      </c>
      <c r="M31" s="142">
        <v>6</v>
      </c>
      <c r="N31" s="142">
        <v>8</v>
      </c>
      <c r="O31" s="142">
        <v>10</v>
      </c>
      <c r="P31" s="142">
        <v>12</v>
      </c>
      <c r="Q31" s="142">
        <v>15</v>
      </c>
      <c r="R31" s="143">
        <v>19</v>
      </c>
      <c r="T31" s="141">
        <v>10</v>
      </c>
      <c r="U31" s="142">
        <v>4</v>
      </c>
      <c r="V31" s="142">
        <v>6</v>
      </c>
      <c r="W31" s="142">
        <v>8</v>
      </c>
      <c r="X31" s="142">
        <v>10</v>
      </c>
      <c r="Y31" s="142">
        <v>12</v>
      </c>
      <c r="Z31" s="142">
        <v>15</v>
      </c>
      <c r="AA31" s="143">
        <v>19</v>
      </c>
      <c r="AC31" s="141">
        <v>10</v>
      </c>
      <c r="AD31" s="142">
        <v>4</v>
      </c>
      <c r="AE31" s="142">
        <v>6</v>
      </c>
      <c r="AF31" s="142">
        <v>8</v>
      </c>
      <c r="AG31" s="142">
        <v>10</v>
      </c>
      <c r="AH31" s="142">
        <v>12</v>
      </c>
      <c r="AI31" s="142">
        <v>15</v>
      </c>
      <c r="AJ31" s="143">
        <v>19</v>
      </c>
      <c r="AK31" s="140"/>
      <c r="AM31" s="141">
        <v>10</v>
      </c>
      <c r="AN31" s="142">
        <v>4</v>
      </c>
      <c r="AO31" s="142">
        <v>6</v>
      </c>
      <c r="AP31" s="142">
        <v>8</v>
      </c>
      <c r="AQ31" s="142">
        <v>10</v>
      </c>
      <c r="AR31" s="142">
        <v>12</v>
      </c>
      <c r="AS31" s="142">
        <v>15</v>
      </c>
      <c r="AT31" s="143">
        <v>19</v>
      </c>
      <c r="AV31" s="141">
        <v>10</v>
      </c>
      <c r="AW31" s="142">
        <v>4</v>
      </c>
      <c r="AX31" s="142">
        <v>6</v>
      </c>
      <c r="AY31" s="142">
        <v>8</v>
      </c>
      <c r="AZ31" s="142">
        <v>10</v>
      </c>
      <c r="BA31" s="142">
        <v>12</v>
      </c>
      <c r="BB31" s="142">
        <v>15</v>
      </c>
      <c r="BC31" s="143">
        <v>19</v>
      </c>
      <c r="BE31" s="141">
        <v>10</v>
      </c>
      <c r="BF31" s="142">
        <v>4</v>
      </c>
      <c r="BG31" s="142">
        <v>6</v>
      </c>
      <c r="BH31" s="142">
        <v>8</v>
      </c>
      <c r="BI31" s="142">
        <v>10</v>
      </c>
      <c r="BJ31" s="142">
        <v>12</v>
      </c>
      <c r="BK31" s="142">
        <v>15</v>
      </c>
      <c r="BL31" s="143">
        <v>19</v>
      </c>
      <c r="BN31" s="141">
        <v>10</v>
      </c>
      <c r="BO31" s="142">
        <v>4</v>
      </c>
      <c r="BP31" s="142">
        <v>6</v>
      </c>
      <c r="BQ31" s="142">
        <v>8</v>
      </c>
      <c r="BR31" s="142">
        <v>10</v>
      </c>
      <c r="BS31" s="142">
        <v>12</v>
      </c>
      <c r="BT31" s="142">
        <v>15</v>
      </c>
      <c r="BU31" s="143">
        <v>19</v>
      </c>
      <c r="CE31" s="144">
        <v>44.1</v>
      </c>
      <c r="CF31" s="139">
        <v>8</v>
      </c>
      <c r="CH31" s="144">
        <v>44.1</v>
      </c>
      <c r="CI31" s="207">
        <v>5.7</v>
      </c>
      <c r="CL31" s="704" t="s">
        <v>586</v>
      </c>
      <c r="CM31" s="705"/>
    </row>
    <row r="32" spans="1:91" ht="15" customHeight="1">
      <c r="A32" s="697" t="s">
        <v>5</v>
      </c>
      <c r="B32" s="144">
        <v>4</v>
      </c>
      <c r="C32" s="225">
        <v>3</v>
      </c>
      <c r="D32" s="148">
        <v>2.9</v>
      </c>
      <c r="E32" s="148">
        <v>2.9</v>
      </c>
      <c r="F32" s="148">
        <v>2.9</v>
      </c>
      <c r="G32" s="148">
        <v>2.9</v>
      </c>
      <c r="H32" s="148">
        <v>2.9</v>
      </c>
      <c r="I32" s="226">
        <v>2.8</v>
      </c>
      <c r="J32" s="697" t="s">
        <v>5</v>
      </c>
      <c r="K32" s="144">
        <v>4</v>
      </c>
      <c r="L32" s="227">
        <v>2.8</v>
      </c>
      <c r="M32" s="228">
        <v>2.7</v>
      </c>
      <c r="N32" s="228">
        <v>2.7</v>
      </c>
      <c r="O32" s="228">
        <v>2.7</v>
      </c>
      <c r="P32" s="228">
        <v>2.7</v>
      </c>
      <c r="Q32" s="228">
        <v>2.7</v>
      </c>
      <c r="R32" s="150">
        <v>2.7</v>
      </c>
      <c r="S32" s="697" t="s">
        <v>5</v>
      </c>
      <c r="T32" s="144">
        <v>4</v>
      </c>
      <c r="U32" s="155">
        <v>2.5</v>
      </c>
      <c r="V32" s="153">
        <v>2.5</v>
      </c>
      <c r="W32" s="153">
        <v>2.5</v>
      </c>
      <c r="X32" s="153">
        <v>2.5</v>
      </c>
      <c r="Y32" s="153">
        <v>2.5</v>
      </c>
      <c r="Z32" s="153">
        <v>2.5</v>
      </c>
      <c r="AA32" s="154">
        <v>2.5</v>
      </c>
      <c r="AB32" s="697" t="s">
        <v>5</v>
      </c>
      <c r="AC32" s="144">
        <v>4</v>
      </c>
      <c r="AD32" s="155">
        <v>2.5</v>
      </c>
      <c r="AE32" s="153">
        <v>2.5</v>
      </c>
      <c r="AF32" s="153">
        <v>2.5</v>
      </c>
      <c r="AG32" s="153">
        <v>2.5</v>
      </c>
      <c r="AH32" s="153">
        <v>2.5</v>
      </c>
      <c r="AI32" s="153">
        <v>2.5</v>
      </c>
      <c r="AJ32" s="157">
        <v>2.4</v>
      </c>
      <c r="AK32" s="140"/>
      <c r="AL32" s="697" t="s">
        <v>5</v>
      </c>
      <c r="AM32" s="144">
        <v>4</v>
      </c>
      <c r="AN32" s="229">
        <v>1.8</v>
      </c>
      <c r="AO32" s="230">
        <v>1.8</v>
      </c>
      <c r="AP32" s="230">
        <v>1.8</v>
      </c>
      <c r="AQ32" s="230">
        <v>1.8</v>
      </c>
      <c r="AR32" s="230">
        <v>1.8</v>
      </c>
      <c r="AS32" s="230">
        <v>1.8</v>
      </c>
      <c r="AT32" s="231">
        <v>1.8</v>
      </c>
      <c r="AU32" s="697" t="s">
        <v>5</v>
      </c>
      <c r="AV32" s="144">
        <v>4</v>
      </c>
      <c r="AW32" s="232">
        <v>1.4</v>
      </c>
      <c r="AX32" s="233">
        <v>1.4</v>
      </c>
      <c r="AY32" s="233">
        <v>1.4</v>
      </c>
      <c r="AZ32" s="233">
        <v>1.4</v>
      </c>
      <c r="BA32" s="233">
        <v>1.4</v>
      </c>
      <c r="BB32" s="233">
        <v>1.4</v>
      </c>
      <c r="BC32" s="234">
        <v>1.4</v>
      </c>
      <c r="BD32" s="697" t="s">
        <v>5</v>
      </c>
      <c r="BE32" s="144">
        <v>4</v>
      </c>
      <c r="BF32" s="168">
        <v>0.9</v>
      </c>
      <c r="BG32" s="169">
        <v>0.9</v>
      </c>
      <c r="BH32" s="169">
        <v>0.9</v>
      </c>
      <c r="BI32" s="169">
        <v>0.9</v>
      </c>
      <c r="BJ32" s="169">
        <v>0.9</v>
      </c>
      <c r="BK32" s="169">
        <v>0.9</v>
      </c>
      <c r="BL32" s="235">
        <v>0.9</v>
      </c>
      <c r="BM32" s="697" t="s">
        <v>5</v>
      </c>
      <c r="BN32" s="144">
        <v>4</v>
      </c>
      <c r="BO32" s="168">
        <v>0.9</v>
      </c>
      <c r="BP32" s="169">
        <v>0.9</v>
      </c>
      <c r="BQ32" s="169">
        <v>0.9</v>
      </c>
      <c r="BR32" s="169">
        <v>0.9</v>
      </c>
      <c r="BS32" s="169">
        <v>0.9</v>
      </c>
      <c r="BT32" s="169">
        <v>0.9</v>
      </c>
      <c r="BU32" s="235">
        <v>0.9</v>
      </c>
      <c r="BY32" s="695" t="s">
        <v>513</v>
      </c>
      <c r="BZ32" s="695"/>
      <c r="CA32" s="695"/>
      <c r="CB32" s="695"/>
      <c r="CC32" s="695"/>
      <c r="CE32" s="144">
        <v>10</v>
      </c>
      <c r="CF32" s="139">
        <v>10</v>
      </c>
      <c r="CH32" s="144">
        <v>10</v>
      </c>
      <c r="CI32" s="207">
        <v>5.6</v>
      </c>
      <c r="CL32" s="463" t="e">
        <f>VLOOKUP(BW17,CL28:CM30,2,FALSE)</f>
        <v>#N/A</v>
      </c>
    </row>
    <row r="33" spans="1:87">
      <c r="A33" s="697"/>
      <c r="B33" s="144">
        <v>6</v>
      </c>
      <c r="C33" s="176">
        <v>2.9</v>
      </c>
      <c r="D33" s="204">
        <v>2.9</v>
      </c>
      <c r="E33" s="204">
        <v>2.9</v>
      </c>
      <c r="F33" s="204">
        <v>2.9</v>
      </c>
      <c r="G33" s="204">
        <v>2.9</v>
      </c>
      <c r="H33" s="177">
        <v>2.8</v>
      </c>
      <c r="I33" s="236">
        <v>2.8</v>
      </c>
      <c r="J33" s="697"/>
      <c r="K33" s="144">
        <v>6</v>
      </c>
      <c r="L33" s="237">
        <v>2.7</v>
      </c>
      <c r="M33" s="200">
        <v>2.7</v>
      </c>
      <c r="N33" s="200">
        <v>2.7</v>
      </c>
      <c r="O33" s="200">
        <v>2.7</v>
      </c>
      <c r="P33" s="200">
        <v>2.7</v>
      </c>
      <c r="Q33" s="200">
        <v>2.7</v>
      </c>
      <c r="R33" s="238">
        <v>2.6</v>
      </c>
      <c r="S33" s="697"/>
      <c r="T33" s="144">
        <v>6</v>
      </c>
      <c r="U33" s="183">
        <v>2.5</v>
      </c>
      <c r="V33" s="181">
        <v>2.5</v>
      </c>
      <c r="W33" s="181">
        <v>2.5</v>
      </c>
      <c r="X33" s="181">
        <v>2.5</v>
      </c>
      <c r="Y33" s="181">
        <v>2.5</v>
      </c>
      <c r="Z33" s="181">
        <v>2.5</v>
      </c>
      <c r="AA33" s="185">
        <v>2.4</v>
      </c>
      <c r="AB33" s="697"/>
      <c r="AC33" s="144">
        <v>6</v>
      </c>
      <c r="AD33" s="183">
        <v>2.5</v>
      </c>
      <c r="AE33" s="181">
        <v>2.5</v>
      </c>
      <c r="AF33" s="181">
        <v>2.5</v>
      </c>
      <c r="AG33" s="181">
        <v>2.5</v>
      </c>
      <c r="AH33" s="181">
        <v>2.5</v>
      </c>
      <c r="AI33" s="184">
        <v>2.4</v>
      </c>
      <c r="AJ33" s="185">
        <v>2.4</v>
      </c>
      <c r="AK33" s="140"/>
      <c r="AL33" s="697"/>
      <c r="AM33" s="144">
        <v>6</v>
      </c>
      <c r="AN33" s="239">
        <v>1.8</v>
      </c>
      <c r="AO33" s="240">
        <v>1.8</v>
      </c>
      <c r="AP33" s="240">
        <v>1.8</v>
      </c>
      <c r="AQ33" s="240">
        <v>1.8</v>
      </c>
      <c r="AR33" s="240">
        <v>1.8</v>
      </c>
      <c r="AS33" s="240">
        <v>1.8</v>
      </c>
      <c r="AT33" s="241">
        <v>1.8</v>
      </c>
      <c r="AU33" s="697"/>
      <c r="AV33" s="144">
        <v>6</v>
      </c>
      <c r="AW33" s="242">
        <v>1.4</v>
      </c>
      <c r="AX33" s="243">
        <v>1.4</v>
      </c>
      <c r="AY33" s="243">
        <v>1.4</v>
      </c>
      <c r="AZ33" s="243">
        <v>1.4</v>
      </c>
      <c r="BA33" s="243">
        <v>1.4</v>
      </c>
      <c r="BB33" s="243">
        <v>1.4</v>
      </c>
      <c r="BC33" s="244">
        <v>1.4</v>
      </c>
      <c r="BD33" s="697"/>
      <c r="BE33" s="144">
        <v>6</v>
      </c>
      <c r="BF33" s="196">
        <v>0.9</v>
      </c>
      <c r="BG33" s="245">
        <v>0.9</v>
      </c>
      <c r="BH33" s="245">
        <v>0.9</v>
      </c>
      <c r="BI33" s="245">
        <v>0.9</v>
      </c>
      <c r="BJ33" s="245">
        <v>0.9</v>
      </c>
      <c r="BK33" s="245">
        <v>0.9</v>
      </c>
      <c r="BL33" s="246">
        <v>0.9</v>
      </c>
      <c r="BM33" s="697"/>
      <c r="BN33" s="144">
        <v>6</v>
      </c>
      <c r="BO33" s="196">
        <v>0.9</v>
      </c>
      <c r="BP33" s="245">
        <v>0.9</v>
      </c>
      <c r="BQ33" s="245">
        <v>0.9</v>
      </c>
      <c r="BR33" s="245">
        <v>0.9</v>
      </c>
      <c r="BS33" s="245">
        <v>0.9</v>
      </c>
      <c r="BT33" s="245">
        <v>0.9</v>
      </c>
      <c r="BU33" s="246">
        <v>0.9</v>
      </c>
      <c r="BZ33" s="76" t="s">
        <v>500</v>
      </c>
      <c r="CA33" s="76" t="s">
        <v>501</v>
      </c>
      <c r="CB33" s="76" t="s">
        <v>502</v>
      </c>
      <c r="CC33" s="76" t="s">
        <v>503</v>
      </c>
      <c r="CE33" s="144">
        <v>55.1</v>
      </c>
      <c r="CF33" s="139">
        <v>10</v>
      </c>
      <c r="CH33" s="144">
        <v>55.1</v>
      </c>
      <c r="CI33" s="207">
        <v>5.6</v>
      </c>
    </row>
    <row r="34" spans="1:87">
      <c r="A34" s="697"/>
      <c r="B34" s="144">
        <v>8</v>
      </c>
      <c r="C34" s="176">
        <v>2.9</v>
      </c>
      <c r="D34" s="204">
        <v>2.9</v>
      </c>
      <c r="E34" s="204">
        <v>2.9</v>
      </c>
      <c r="F34" s="204">
        <v>2.9</v>
      </c>
      <c r="G34" s="204">
        <v>2.9</v>
      </c>
      <c r="H34" s="177">
        <v>2.8</v>
      </c>
      <c r="I34" s="236">
        <v>2.8</v>
      </c>
      <c r="J34" s="697"/>
      <c r="K34" s="144">
        <v>8</v>
      </c>
      <c r="L34" s="237">
        <v>2.7</v>
      </c>
      <c r="M34" s="200">
        <v>2.7</v>
      </c>
      <c r="N34" s="200">
        <v>2.7</v>
      </c>
      <c r="O34" s="200">
        <v>2.7</v>
      </c>
      <c r="P34" s="200">
        <v>2.7</v>
      </c>
      <c r="Q34" s="200">
        <v>2.7</v>
      </c>
      <c r="R34" s="238">
        <v>2.6</v>
      </c>
      <c r="S34" s="697"/>
      <c r="T34" s="144">
        <v>8</v>
      </c>
      <c r="U34" s="183">
        <v>2.5</v>
      </c>
      <c r="V34" s="181">
        <v>2.5</v>
      </c>
      <c r="W34" s="181">
        <v>2.5</v>
      </c>
      <c r="X34" s="181">
        <v>2.5</v>
      </c>
      <c r="Y34" s="181">
        <v>2.5</v>
      </c>
      <c r="Z34" s="181">
        <v>2.5</v>
      </c>
      <c r="AA34" s="185">
        <v>2.4</v>
      </c>
      <c r="AB34" s="697"/>
      <c r="AC34" s="144">
        <v>8</v>
      </c>
      <c r="AD34" s="183">
        <v>2.5</v>
      </c>
      <c r="AE34" s="181">
        <v>2.5</v>
      </c>
      <c r="AF34" s="181">
        <v>2.5</v>
      </c>
      <c r="AG34" s="181">
        <v>2.5</v>
      </c>
      <c r="AH34" s="184">
        <v>2.4</v>
      </c>
      <c r="AI34" s="184">
        <v>2.4</v>
      </c>
      <c r="AJ34" s="185">
        <v>2.4</v>
      </c>
      <c r="AK34" s="140"/>
      <c r="AL34" s="697"/>
      <c r="AM34" s="144">
        <v>8</v>
      </c>
      <c r="AN34" s="239">
        <v>1.8</v>
      </c>
      <c r="AO34" s="240">
        <v>1.8</v>
      </c>
      <c r="AP34" s="240">
        <v>1.8</v>
      </c>
      <c r="AQ34" s="240">
        <v>1.8</v>
      </c>
      <c r="AR34" s="240">
        <v>1.8</v>
      </c>
      <c r="AS34" s="240">
        <v>1.8</v>
      </c>
      <c r="AT34" s="241">
        <v>1.8</v>
      </c>
      <c r="AU34" s="697"/>
      <c r="AV34" s="144">
        <v>8</v>
      </c>
      <c r="AW34" s="242">
        <v>1.4</v>
      </c>
      <c r="AX34" s="243">
        <v>1.4</v>
      </c>
      <c r="AY34" s="243">
        <v>1.4</v>
      </c>
      <c r="AZ34" s="243">
        <v>1.4</v>
      </c>
      <c r="BA34" s="243">
        <v>1.4</v>
      </c>
      <c r="BB34" s="243">
        <v>1.4</v>
      </c>
      <c r="BC34" s="244">
        <v>1.4</v>
      </c>
      <c r="BD34" s="697"/>
      <c r="BE34" s="144">
        <v>8</v>
      </c>
      <c r="BF34" s="196">
        <v>0.9</v>
      </c>
      <c r="BG34" s="245">
        <v>0.9</v>
      </c>
      <c r="BH34" s="245">
        <v>0.9</v>
      </c>
      <c r="BI34" s="245">
        <v>0.9</v>
      </c>
      <c r="BJ34" s="245">
        <v>0.9</v>
      </c>
      <c r="BK34" s="245">
        <v>0.9</v>
      </c>
      <c r="BL34" s="246">
        <v>0.9</v>
      </c>
      <c r="BM34" s="697"/>
      <c r="BN34" s="144">
        <v>8</v>
      </c>
      <c r="BO34" s="196">
        <v>0.9</v>
      </c>
      <c r="BP34" s="245">
        <v>0.9</v>
      </c>
      <c r="BQ34" s="245">
        <v>0.9</v>
      </c>
      <c r="BR34" s="245">
        <v>0.9</v>
      </c>
      <c r="BS34" s="245">
        <v>0.9</v>
      </c>
      <c r="BT34" s="245">
        <v>0.9</v>
      </c>
      <c r="BU34" s="246">
        <v>0.9</v>
      </c>
      <c r="BY34" s="130">
        <v>6</v>
      </c>
      <c r="BZ34" s="139" t="e">
        <f>INDEX(AN14:AT20,MATCH($CA$17,AM14:AM20,0),MATCH($CC$17,AN13:AT13,0))</f>
        <v>#N/A</v>
      </c>
      <c r="CA34" s="139" t="e">
        <f>INDEX(AW14:BC20,MATCH($CA$17,AV14:AV20,0),MATCH($CC$17,AW13:BC13,0))</f>
        <v>#N/A</v>
      </c>
      <c r="CB34" s="139" t="e">
        <f>INDEX(BF14:BL20,MATCH($CA$17,BE14:BE20,0),MATCH($CC$17,BF13:BL13,0))</f>
        <v>#N/A</v>
      </c>
      <c r="CC34" s="139" t="e">
        <f>INDEX(BO14:BU20,MATCH($CA$17,BN14:BN20,0),MATCH($CC$17,BO13:BU13,0))</f>
        <v>#N/A</v>
      </c>
      <c r="CE34" s="144">
        <v>12</v>
      </c>
      <c r="CF34" s="139">
        <v>12</v>
      </c>
      <c r="CH34" s="144">
        <v>12</v>
      </c>
      <c r="CI34" s="207">
        <v>5.5</v>
      </c>
    </row>
    <row r="35" spans="1:87">
      <c r="A35" s="697"/>
      <c r="B35" s="144">
        <v>10</v>
      </c>
      <c r="C35" s="176">
        <v>2.9</v>
      </c>
      <c r="D35" s="204">
        <v>2.9</v>
      </c>
      <c r="E35" s="204">
        <v>2.9</v>
      </c>
      <c r="F35" s="204">
        <v>2.9</v>
      </c>
      <c r="G35" s="177">
        <v>2.8</v>
      </c>
      <c r="H35" s="177">
        <v>2.8</v>
      </c>
      <c r="I35" s="236">
        <v>2.8</v>
      </c>
      <c r="J35" s="697"/>
      <c r="K35" s="144">
        <v>10</v>
      </c>
      <c r="L35" s="237">
        <v>2.7</v>
      </c>
      <c r="M35" s="200">
        <v>2.7</v>
      </c>
      <c r="N35" s="200">
        <v>2.7</v>
      </c>
      <c r="O35" s="200">
        <v>2.7</v>
      </c>
      <c r="P35" s="200">
        <v>2.7</v>
      </c>
      <c r="Q35" s="180">
        <v>2.6</v>
      </c>
      <c r="R35" s="238">
        <v>2.6</v>
      </c>
      <c r="S35" s="697"/>
      <c r="T35" s="144">
        <v>10</v>
      </c>
      <c r="U35" s="183">
        <v>2.5</v>
      </c>
      <c r="V35" s="181">
        <v>2.5</v>
      </c>
      <c r="W35" s="181">
        <v>2.5</v>
      </c>
      <c r="X35" s="181">
        <v>2.5</v>
      </c>
      <c r="Y35" s="181">
        <v>2.5</v>
      </c>
      <c r="Z35" s="184">
        <v>2.4</v>
      </c>
      <c r="AA35" s="185">
        <v>2.4</v>
      </c>
      <c r="AB35" s="697"/>
      <c r="AC35" s="144">
        <v>10</v>
      </c>
      <c r="AD35" s="183">
        <v>2.5</v>
      </c>
      <c r="AE35" s="181">
        <v>2.5</v>
      </c>
      <c r="AF35" s="181">
        <v>2.5</v>
      </c>
      <c r="AG35" s="184">
        <v>2.4</v>
      </c>
      <c r="AH35" s="184">
        <v>2.4</v>
      </c>
      <c r="AI35" s="184">
        <v>2.4</v>
      </c>
      <c r="AJ35" s="185">
        <v>2.4</v>
      </c>
      <c r="AK35" s="140"/>
      <c r="AL35" s="697"/>
      <c r="AM35" s="144">
        <v>10</v>
      </c>
      <c r="AN35" s="239">
        <v>1.8</v>
      </c>
      <c r="AO35" s="240">
        <v>1.8</v>
      </c>
      <c r="AP35" s="240">
        <v>1.8</v>
      </c>
      <c r="AQ35" s="240">
        <v>1.8</v>
      </c>
      <c r="AR35" s="240">
        <v>1.8</v>
      </c>
      <c r="AS35" s="240">
        <v>1.8</v>
      </c>
      <c r="AT35" s="241">
        <v>1.8</v>
      </c>
      <c r="AU35" s="697"/>
      <c r="AV35" s="144">
        <v>10</v>
      </c>
      <c r="AW35" s="242">
        <v>1.4</v>
      </c>
      <c r="AX35" s="243">
        <v>1.4</v>
      </c>
      <c r="AY35" s="243">
        <v>1.4</v>
      </c>
      <c r="AZ35" s="243">
        <v>1.4</v>
      </c>
      <c r="BA35" s="243">
        <v>1.4</v>
      </c>
      <c r="BB35" s="243">
        <v>1.4</v>
      </c>
      <c r="BC35" s="244">
        <v>1.4</v>
      </c>
      <c r="BD35" s="697"/>
      <c r="BE35" s="144">
        <v>10</v>
      </c>
      <c r="BF35" s="196">
        <v>0.9</v>
      </c>
      <c r="BG35" s="245">
        <v>0.9</v>
      </c>
      <c r="BH35" s="245">
        <v>0.9</v>
      </c>
      <c r="BI35" s="245">
        <v>0.9</v>
      </c>
      <c r="BJ35" s="245">
        <v>0.9</v>
      </c>
      <c r="BK35" s="245">
        <v>0.9</v>
      </c>
      <c r="BL35" s="246">
        <v>0.9</v>
      </c>
      <c r="BM35" s="697"/>
      <c r="BN35" s="144">
        <v>10</v>
      </c>
      <c r="BO35" s="196">
        <v>0.9</v>
      </c>
      <c r="BP35" s="245">
        <v>0.9</v>
      </c>
      <c r="BQ35" s="245">
        <v>0.9</v>
      </c>
      <c r="BR35" s="245">
        <v>0.9</v>
      </c>
      <c r="BS35" s="245">
        <v>0.9</v>
      </c>
      <c r="BT35" s="245">
        <v>0.9</v>
      </c>
      <c r="BU35" s="246">
        <v>0.9</v>
      </c>
      <c r="BY35" s="130">
        <v>8</v>
      </c>
      <c r="BZ35" s="139" t="e">
        <f>INDEX(AN23:AT29,MATCH($CA$17,AM23:AM29,0),MATCH($CC$17,AN22:AT22,0))</f>
        <v>#N/A</v>
      </c>
      <c r="CA35" s="139" t="e">
        <f>INDEX(AW23:BC29,MATCH($CA$17,AV23:AV29,0),MATCH($CC$17,AW22:BC22,0))</f>
        <v>#N/A</v>
      </c>
      <c r="CB35" s="139" t="e">
        <f>INDEX(BF23:BL29,MATCH($CA$17,BE23:BE29,0),MATCH($CC$17,BF22:BL22,0))</f>
        <v>#N/A</v>
      </c>
      <c r="CC35" s="139" t="e">
        <f>INDEX(BO23:BU29,MATCH($CA$17,BN23:BN29,0),MATCH($CC$17,BO22:BU22,0))</f>
        <v>#N/A</v>
      </c>
      <c r="CE35" s="144">
        <v>66.099999999999994</v>
      </c>
      <c r="CF35" s="139">
        <v>12</v>
      </c>
      <c r="CH35" s="144">
        <v>66.099999999999994</v>
      </c>
      <c r="CI35" s="207">
        <v>5.5</v>
      </c>
    </row>
    <row r="36" spans="1:87">
      <c r="A36" s="697"/>
      <c r="B36" s="144">
        <v>12</v>
      </c>
      <c r="C36" s="176">
        <v>2.9</v>
      </c>
      <c r="D36" s="204">
        <v>2.9</v>
      </c>
      <c r="E36" s="204">
        <v>2.9</v>
      </c>
      <c r="F36" s="177">
        <v>2.8</v>
      </c>
      <c r="G36" s="177">
        <v>2.8</v>
      </c>
      <c r="H36" s="177">
        <v>2.8</v>
      </c>
      <c r="I36" s="236">
        <v>2.8</v>
      </c>
      <c r="J36" s="697"/>
      <c r="K36" s="144">
        <v>12</v>
      </c>
      <c r="L36" s="237">
        <v>2.7</v>
      </c>
      <c r="M36" s="200">
        <v>2.7</v>
      </c>
      <c r="N36" s="200">
        <v>2.7</v>
      </c>
      <c r="O36" s="200">
        <v>2.7</v>
      </c>
      <c r="P36" s="180">
        <v>2.6</v>
      </c>
      <c r="Q36" s="180">
        <v>2.6</v>
      </c>
      <c r="R36" s="238">
        <v>2.6</v>
      </c>
      <c r="S36" s="697"/>
      <c r="T36" s="144">
        <v>12</v>
      </c>
      <c r="U36" s="183">
        <v>2.5</v>
      </c>
      <c r="V36" s="181">
        <v>2.5</v>
      </c>
      <c r="W36" s="181">
        <v>2.5</v>
      </c>
      <c r="X36" s="181">
        <v>2.5</v>
      </c>
      <c r="Y36" s="184">
        <v>2.4</v>
      </c>
      <c r="Z36" s="184">
        <v>2.4</v>
      </c>
      <c r="AA36" s="185">
        <v>2.4</v>
      </c>
      <c r="AB36" s="697"/>
      <c r="AC36" s="144">
        <v>12</v>
      </c>
      <c r="AD36" s="183">
        <v>2.5</v>
      </c>
      <c r="AE36" s="181">
        <v>2.5</v>
      </c>
      <c r="AF36" s="184">
        <v>2.4</v>
      </c>
      <c r="AG36" s="184">
        <v>2.4</v>
      </c>
      <c r="AH36" s="184">
        <v>2.4</v>
      </c>
      <c r="AI36" s="184">
        <v>2.4</v>
      </c>
      <c r="AJ36" s="185">
        <v>2.4</v>
      </c>
      <c r="AK36" s="140"/>
      <c r="AL36" s="697"/>
      <c r="AM36" s="144">
        <v>12</v>
      </c>
      <c r="AN36" s="205"/>
      <c r="AO36" s="206"/>
      <c r="AP36" s="206"/>
      <c r="AQ36" s="206"/>
      <c r="AR36" s="206"/>
      <c r="AS36" s="206"/>
      <c r="AT36" s="207"/>
      <c r="AU36" s="697"/>
      <c r="AV36" s="144">
        <v>12</v>
      </c>
      <c r="AW36" s="205"/>
      <c r="AX36" s="206"/>
      <c r="AY36" s="206"/>
      <c r="AZ36" s="206"/>
      <c r="BA36" s="206"/>
      <c r="BB36" s="206"/>
      <c r="BC36" s="207"/>
      <c r="BD36" s="697"/>
      <c r="BE36" s="144">
        <v>12</v>
      </c>
      <c r="BF36" s="205"/>
      <c r="BG36" s="206"/>
      <c r="BH36" s="206"/>
      <c r="BI36" s="206"/>
      <c r="BJ36" s="206"/>
      <c r="BK36" s="206"/>
      <c r="BL36" s="207"/>
      <c r="BM36" s="697"/>
      <c r="BN36" s="144">
        <v>12</v>
      </c>
      <c r="BO36" s="205"/>
      <c r="BP36" s="206"/>
      <c r="BQ36" s="206"/>
      <c r="BR36" s="206"/>
      <c r="BS36" s="206"/>
      <c r="BT36" s="206"/>
      <c r="BU36" s="207"/>
      <c r="BY36" s="130">
        <v>10</v>
      </c>
      <c r="BZ36" s="139" t="e">
        <f>INDEX(AN32:AT38,MATCH($CA$17,AM32:AM38,0),MATCH($CC$17,AN31:AT31,0))</f>
        <v>#N/A</v>
      </c>
      <c r="CA36" s="139" t="e">
        <f>INDEX(AW32:BC38,MATCH($CA$17,AV32:AV38,0),MATCH($CC$17,AW31:BC31,0))</f>
        <v>#N/A</v>
      </c>
      <c r="CB36" s="139" t="e">
        <f>INDEX(BF32:BL38,MATCH($CA$17,BE32:BE38,0),MATCH($CC$17,BF31:BL31,0))</f>
        <v>#N/A</v>
      </c>
      <c r="CC36" s="139" t="e">
        <f>INDEX(BO32:BU38,MATCH($CA$17,BN32:BN38,0),MATCH($CC$17,BO31:BU31,0))</f>
        <v>#N/A</v>
      </c>
      <c r="CE36" s="144">
        <v>15</v>
      </c>
      <c r="CF36" s="139">
        <v>15</v>
      </c>
      <c r="CH36" s="144">
        <v>15</v>
      </c>
      <c r="CI36" s="207">
        <v>5.5</v>
      </c>
    </row>
    <row r="37" spans="1:87" ht="13.5" thickBot="1">
      <c r="A37" s="697"/>
      <c r="B37" s="144">
        <v>15</v>
      </c>
      <c r="C37" s="176">
        <v>2.9</v>
      </c>
      <c r="D37" s="177">
        <v>2.8</v>
      </c>
      <c r="E37" s="177">
        <v>2.8</v>
      </c>
      <c r="F37" s="177">
        <v>2.8</v>
      </c>
      <c r="G37" s="177">
        <v>2.8</v>
      </c>
      <c r="H37" s="177">
        <v>2.8</v>
      </c>
      <c r="I37" s="178">
        <v>2.7</v>
      </c>
      <c r="J37" s="697"/>
      <c r="K37" s="144">
        <v>15</v>
      </c>
      <c r="L37" s="237">
        <v>2.7</v>
      </c>
      <c r="M37" s="200">
        <v>2.7</v>
      </c>
      <c r="N37" s="200">
        <v>2.7</v>
      </c>
      <c r="O37" s="180">
        <v>2.6</v>
      </c>
      <c r="P37" s="180">
        <v>2.6</v>
      </c>
      <c r="Q37" s="180">
        <v>2.6</v>
      </c>
      <c r="R37" s="238">
        <v>2.6</v>
      </c>
      <c r="S37" s="697"/>
      <c r="T37" s="144">
        <v>15</v>
      </c>
      <c r="U37" s="183">
        <v>2.5</v>
      </c>
      <c r="V37" s="181">
        <v>2.5</v>
      </c>
      <c r="W37" s="181">
        <v>2.5</v>
      </c>
      <c r="X37" s="184">
        <v>2.4</v>
      </c>
      <c r="Y37" s="184">
        <v>2.4</v>
      </c>
      <c r="Z37" s="184">
        <v>2.4</v>
      </c>
      <c r="AA37" s="185">
        <v>2.4</v>
      </c>
      <c r="AB37" s="697"/>
      <c r="AC37" s="144">
        <v>15</v>
      </c>
      <c r="AD37" s="183">
        <v>2.5</v>
      </c>
      <c r="AE37" s="184">
        <v>2.4</v>
      </c>
      <c r="AF37" s="184">
        <v>2.4</v>
      </c>
      <c r="AG37" s="184">
        <v>2.4</v>
      </c>
      <c r="AH37" s="184">
        <v>2.4</v>
      </c>
      <c r="AI37" s="184">
        <v>2.4</v>
      </c>
      <c r="AJ37" s="185">
        <v>2.4</v>
      </c>
      <c r="AK37" s="140"/>
      <c r="AL37" s="697"/>
      <c r="AM37" s="144">
        <v>15</v>
      </c>
      <c r="AN37" s="205"/>
      <c r="AO37" s="206"/>
      <c r="AP37" s="206"/>
      <c r="AQ37" s="206"/>
      <c r="AR37" s="206"/>
      <c r="AS37" s="206"/>
      <c r="AT37" s="207"/>
      <c r="AU37" s="697"/>
      <c r="AV37" s="144">
        <v>15</v>
      </c>
      <c r="AW37" s="205"/>
      <c r="AX37" s="206"/>
      <c r="AY37" s="206"/>
      <c r="AZ37" s="206"/>
      <c r="BA37" s="206"/>
      <c r="BB37" s="206"/>
      <c r="BC37" s="207"/>
      <c r="BD37" s="697"/>
      <c r="BE37" s="144">
        <v>15</v>
      </c>
      <c r="BF37" s="205"/>
      <c r="BG37" s="206"/>
      <c r="BH37" s="206"/>
      <c r="BI37" s="206"/>
      <c r="BJ37" s="206"/>
      <c r="BK37" s="206"/>
      <c r="BL37" s="207"/>
      <c r="BM37" s="697"/>
      <c r="BN37" s="144">
        <v>15</v>
      </c>
      <c r="BO37" s="205"/>
      <c r="BP37" s="206"/>
      <c r="BQ37" s="206"/>
      <c r="BR37" s="206"/>
      <c r="BS37" s="206"/>
      <c r="BT37" s="206"/>
      <c r="BU37" s="207"/>
      <c r="BY37" s="130">
        <v>12</v>
      </c>
      <c r="BZ37" s="139" t="e">
        <f>INDEX(AN41:AT47,MATCH($CA$17,AM41:AM47,0),MATCH($CC$17,AN40:AT40,0))</f>
        <v>#N/A</v>
      </c>
      <c r="CA37" s="139" t="e">
        <f>INDEX(AW41:BC47,MATCH($CA$17,AV41:AV47,0),MATCH($CC$17,AW40:BC40,0))</f>
        <v>#N/A</v>
      </c>
      <c r="CB37" s="139" t="e">
        <f>INDEX(BF41:BL47,MATCH($CA$17,BE41:BE47,0),MATCH($CC$17,BF40:BL40,0))</f>
        <v>#N/A</v>
      </c>
      <c r="CC37" s="139" t="e">
        <f>INDEX(BO41:BU47,MATCH($CA$17,BN41:BN47,0),MATCH($CC$17,BO40:BU40,0))</f>
        <v>#N/A</v>
      </c>
      <c r="CE37" s="209">
        <v>19</v>
      </c>
      <c r="CF37" s="139">
        <v>19</v>
      </c>
      <c r="CH37" s="209">
        <v>19</v>
      </c>
      <c r="CI37" s="224">
        <v>5.3</v>
      </c>
    </row>
    <row r="38" spans="1:87" ht="13.5" thickBot="1">
      <c r="A38" s="697"/>
      <c r="B38" s="209">
        <v>19</v>
      </c>
      <c r="C38" s="247">
        <v>2.8</v>
      </c>
      <c r="D38" s="248">
        <v>2.8</v>
      </c>
      <c r="E38" s="248">
        <v>2.8</v>
      </c>
      <c r="F38" s="248">
        <v>2.8</v>
      </c>
      <c r="G38" s="248">
        <v>2.8</v>
      </c>
      <c r="H38" s="214">
        <v>2.7</v>
      </c>
      <c r="I38" s="249">
        <v>2.7</v>
      </c>
      <c r="J38" s="697"/>
      <c r="K38" s="209">
        <v>19</v>
      </c>
      <c r="L38" s="213">
        <v>2.7</v>
      </c>
      <c r="M38" s="250">
        <v>2.6</v>
      </c>
      <c r="N38" s="250">
        <v>2.6</v>
      </c>
      <c r="O38" s="250">
        <v>2.6</v>
      </c>
      <c r="P38" s="250">
        <v>2.6</v>
      </c>
      <c r="Q38" s="250">
        <v>2.6</v>
      </c>
      <c r="R38" s="251">
        <v>2.5</v>
      </c>
      <c r="S38" s="697"/>
      <c r="T38" s="209">
        <v>19</v>
      </c>
      <c r="U38" s="216">
        <v>2.5</v>
      </c>
      <c r="V38" s="218">
        <v>2.4</v>
      </c>
      <c r="W38" s="218">
        <v>2.4</v>
      </c>
      <c r="X38" s="218">
        <v>2.4</v>
      </c>
      <c r="Y38" s="218">
        <v>2.4</v>
      </c>
      <c r="Z38" s="218">
        <v>2.4</v>
      </c>
      <c r="AA38" s="219">
        <v>2.4</v>
      </c>
      <c r="AB38" s="697"/>
      <c r="AC38" s="209">
        <v>19</v>
      </c>
      <c r="AD38" s="220">
        <v>2.4</v>
      </c>
      <c r="AE38" s="218">
        <v>2.4</v>
      </c>
      <c r="AF38" s="218">
        <v>2.4</v>
      </c>
      <c r="AG38" s="218">
        <v>2.4</v>
      </c>
      <c r="AH38" s="218">
        <v>2.4</v>
      </c>
      <c r="AI38" s="218">
        <v>2.4</v>
      </c>
      <c r="AJ38" s="221">
        <v>2.2999999999999998</v>
      </c>
      <c r="AK38" s="140"/>
      <c r="AL38" s="697"/>
      <c r="AM38" s="209">
        <v>19</v>
      </c>
      <c r="AN38" s="222"/>
      <c r="AO38" s="223"/>
      <c r="AP38" s="223"/>
      <c r="AQ38" s="223"/>
      <c r="AR38" s="223"/>
      <c r="AS38" s="223"/>
      <c r="AT38" s="224"/>
      <c r="AU38" s="697"/>
      <c r="AV38" s="209">
        <v>19</v>
      </c>
      <c r="AW38" s="222"/>
      <c r="AX38" s="223"/>
      <c r="AY38" s="223"/>
      <c r="AZ38" s="223"/>
      <c r="BA38" s="223"/>
      <c r="BB38" s="223"/>
      <c r="BC38" s="224"/>
      <c r="BD38" s="697"/>
      <c r="BE38" s="209">
        <v>19</v>
      </c>
      <c r="BF38" s="222"/>
      <c r="BG38" s="223"/>
      <c r="BH38" s="223"/>
      <c r="BI38" s="223"/>
      <c r="BJ38" s="223"/>
      <c r="BK38" s="223"/>
      <c r="BL38" s="224"/>
      <c r="BM38" s="697"/>
      <c r="BN38" s="209">
        <v>19</v>
      </c>
      <c r="BO38" s="222"/>
      <c r="BP38" s="223"/>
      <c r="BQ38" s="223"/>
      <c r="BR38" s="223"/>
      <c r="BS38" s="223"/>
      <c r="BT38" s="223"/>
      <c r="BU38" s="224"/>
      <c r="BY38" s="130">
        <v>14</v>
      </c>
      <c r="BZ38" s="139" t="e">
        <f>INDEX(AN50:AT56,MATCH($CA$17,AM50:AM56,0),MATCH($CC$17,AN49:AT49,0))</f>
        <v>#N/A</v>
      </c>
      <c r="CA38" s="139" t="e">
        <f>INDEX(AW50:BC56,MATCH($CA$17,AV50:AV56,0),MATCH($CC$17,AW49:BC49,0))</f>
        <v>#N/A</v>
      </c>
      <c r="CB38" s="139" t="e">
        <f>INDEX(BF50:BL56,MATCH($CA$17,BE50:BE56,0),MATCH($CC$17,BF49:BL49,0))</f>
        <v>#N/A</v>
      </c>
      <c r="CC38" s="139" t="e">
        <f>INDEX(BO50:BU56,MATCH($CA$17,BN50:BN56,0),MATCH($CC$17,BO49:BU49,0))</f>
        <v>#N/A</v>
      </c>
    </row>
    <row r="39" spans="1:87" ht="13.5" thickBot="1">
      <c r="C39" s="696" t="s">
        <v>6</v>
      </c>
      <c r="D39" s="696"/>
      <c r="E39" s="696"/>
      <c r="F39" s="696"/>
      <c r="G39" s="696"/>
      <c r="H39" s="696"/>
      <c r="I39" s="696"/>
      <c r="L39" s="696" t="s">
        <v>6</v>
      </c>
      <c r="M39" s="696"/>
      <c r="N39" s="696"/>
      <c r="O39" s="696"/>
      <c r="P39" s="696"/>
      <c r="Q39" s="696"/>
      <c r="R39" s="696"/>
      <c r="U39" s="696" t="s">
        <v>6</v>
      </c>
      <c r="V39" s="696"/>
      <c r="W39" s="696"/>
      <c r="X39" s="696"/>
      <c r="Y39" s="696"/>
      <c r="Z39" s="696"/>
      <c r="AA39" s="696"/>
      <c r="AD39" s="696" t="s">
        <v>6</v>
      </c>
      <c r="AE39" s="696"/>
      <c r="AF39" s="696"/>
      <c r="AG39" s="696"/>
      <c r="AH39" s="696"/>
      <c r="AI39" s="696"/>
      <c r="AJ39" s="696"/>
      <c r="AK39" s="140"/>
      <c r="AN39" s="696" t="s">
        <v>6</v>
      </c>
      <c r="AO39" s="696"/>
      <c r="AP39" s="696"/>
      <c r="AQ39" s="696"/>
      <c r="AR39" s="696"/>
      <c r="AS39" s="696"/>
      <c r="AT39" s="696"/>
      <c r="AW39" s="696" t="s">
        <v>6</v>
      </c>
      <c r="AX39" s="696"/>
      <c r="AY39" s="696"/>
      <c r="AZ39" s="696"/>
      <c r="BA39" s="696"/>
      <c r="BB39" s="696"/>
      <c r="BC39" s="696"/>
      <c r="BF39" s="696" t="s">
        <v>6</v>
      </c>
      <c r="BG39" s="696"/>
      <c r="BH39" s="696"/>
      <c r="BI39" s="696"/>
      <c r="BJ39" s="696"/>
      <c r="BK39" s="696"/>
      <c r="BL39" s="696"/>
      <c r="BO39" s="696" t="s">
        <v>6</v>
      </c>
      <c r="BP39" s="696"/>
      <c r="BQ39" s="696"/>
      <c r="BR39" s="696"/>
      <c r="BS39" s="696"/>
      <c r="BT39" s="696"/>
      <c r="BU39" s="696"/>
      <c r="BY39" s="130">
        <v>16</v>
      </c>
      <c r="BZ39" s="139" t="e">
        <f>INDEX(AN59:AT65,MATCH($CA$17,AM59:AM65,0),MATCH($CC$17,AN58:AT58,0))</f>
        <v>#N/A</v>
      </c>
      <c r="CA39" s="139" t="e">
        <f>INDEX(AW59:BC65,MATCH($CA$17,AV59:AV65,0),MATCH($CC$17,AW58:BC58,0))</f>
        <v>#N/A</v>
      </c>
      <c r="CB39" s="139" t="e">
        <f>INDEX(BF59:BL65,MATCH($CA$17,BE59:BE65,0),MATCH($CC$17,BF58:BL58,0))</f>
        <v>#N/A</v>
      </c>
      <c r="CC39" s="139" t="e">
        <f>INDEX(BO59:BU65,MATCH($CA$17,BN59:BN65,0),MATCH($CC$17,BO58:BU58,0))</f>
        <v>#N/A</v>
      </c>
    </row>
    <row r="40" spans="1:87" ht="13.5" thickBot="1">
      <c r="B40" s="141">
        <v>12</v>
      </c>
      <c r="C40" s="142">
        <v>4</v>
      </c>
      <c r="D40" s="142">
        <v>6</v>
      </c>
      <c r="E40" s="142">
        <v>8</v>
      </c>
      <c r="F40" s="142">
        <v>10</v>
      </c>
      <c r="G40" s="142">
        <v>12</v>
      </c>
      <c r="H40" s="142">
        <v>15</v>
      </c>
      <c r="I40" s="143">
        <v>19</v>
      </c>
      <c r="K40" s="141">
        <v>12</v>
      </c>
      <c r="L40" s="142">
        <v>4</v>
      </c>
      <c r="M40" s="142">
        <v>6</v>
      </c>
      <c r="N40" s="142">
        <v>8</v>
      </c>
      <c r="O40" s="142">
        <v>10</v>
      </c>
      <c r="P40" s="142">
        <v>12</v>
      </c>
      <c r="Q40" s="142">
        <v>15</v>
      </c>
      <c r="R40" s="143">
        <v>19</v>
      </c>
      <c r="T40" s="141">
        <v>12</v>
      </c>
      <c r="U40" s="142">
        <v>4</v>
      </c>
      <c r="V40" s="142">
        <v>6</v>
      </c>
      <c r="W40" s="142">
        <v>8</v>
      </c>
      <c r="X40" s="142">
        <v>10</v>
      </c>
      <c r="Y40" s="142">
        <v>12</v>
      </c>
      <c r="Z40" s="142">
        <v>15</v>
      </c>
      <c r="AA40" s="143">
        <v>19</v>
      </c>
      <c r="AC40" s="141">
        <v>12</v>
      </c>
      <c r="AD40" s="142">
        <v>4</v>
      </c>
      <c r="AE40" s="142">
        <v>6</v>
      </c>
      <c r="AF40" s="142">
        <v>8</v>
      </c>
      <c r="AG40" s="142">
        <v>10</v>
      </c>
      <c r="AH40" s="142">
        <v>12</v>
      </c>
      <c r="AI40" s="142">
        <v>15</v>
      </c>
      <c r="AJ40" s="143">
        <v>19</v>
      </c>
      <c r="AK40" s="140"/>
      <c r="AM40" s="141">
        <v>12</v>
      </c>
      <c r="AN40" s="142">
        <v>4</v>
      </c>
      <c r="AO40" s="142">
        <v>6</v>
      </c>
      <c r="AP40" s="142">
        <v>8</v>
      </c>
      <c r="AQ40" s="142">
        <v>10</v>
      </c>
      <c r="AR40" s="142">
        <v>12</v>
      </c>
      <c r="AS40" s="142">
        <v>15</v>
      </c>
      <c r="AT40" s="143">
        <v>19</v>
      </c>
      <c r="AV40" s="141">
        <v>12</v>
      </c>
      <c r="AW40" s="142">
        <v>4</v>
      </c>
      <c r="AX40" s="142">
        <v>6</v>
      </c>
      <c r="AY40" s="142">
        <v>8</v>
      </c>
      <c r="AZ40" s="142">
        <v>10</v>
      </c>
      <c r="BA40" s="142">
        <v>12</v>
      </c>
      <c r="BB40" s="142">
        <v>15</v>
      </c>
      <c r="BC40" s="143">
        <v>19</v>
      </c>
      <c r="BE40" s="141">
        <v>12</v>
      </c>
      <c r="BF40" s="142">
        <v>4</v>
      </c>
      <c r="BG40" s="142">
        <v>6</v>
      </c>
      <c r="BH40" s="142">
        <v>8</v>
      </c>
      <c r="BI40" s="142">
        <v>10</v>
      </c>
      <c r="BJ40" s="142">
        <v>12</v>
      </c>
      <c r="BK40" s="142">
        <v>15</v>
      </c>
      <c r="BL40" s="143">
        <v>19</v>
      </c>
      <c r="BN40" s="141">
        <v>12</v>
      </c>
      <c r="BO40" s="142">
        <v>4</v>
      </c>
      <c r="BP40" s="142">
        <v>6</v>
      </c>
      <c r="BQ40" s="142">
        <v>8</v>
      </c>
      <c r="BR40" s="142">
        <v>10</v>
      </c>
      <c r="BS40" s="142">
        <v>12</v>
      </c>
      <c r="BT40" s="142">
        <v>15</v>
      </c>
      <c r="BU40" s="143">
        <v>19</v>
      </c>
      <c r="BY40" s="130">
        <v>18</v>
      </c>
      <c r="BZ40" s="139" t="e">
        <f>INDEX(AN68:AT74,MATCH($CA$17,AM68:AM74,0),MATCH($CC$17,AN67:AT67,0))</f>
        <v>#N/A</v>
      </c>
      <c r="CA40" s="139" t="e">
        <f>INDEX(AW68:BC74,MATCH($CA$17,AV68:AV74,0),MATCH($CC$17,AW67:BC67,0))</f>
        <v>#N/A</v>
      </c>
      <c r="CB40" s="139" t="e">
        <f>INDEX(BF68:BL74,MATCH($CA$17,BE68:BE74,0),MATCH($CC$17,BF67:BL67,0))</f>
        <v>#N/A</v>
      </c>
      <c r="CC40" s="139" t="e">
        <f>INDEX(BO68:BU74,MATCH($CA$17,BN68:BN74,0),MATCH($CC$17,BO67:BU67,0))</f>
        <v>#N/A</v>
      </c>
    </row>
    <row r="41" spans="1:87" ht="15" customHeight="1">
      <c r="A41" s="697" t="s">
        <v>5</v>
      </c>
      <c r="B41" s="144">
        <v>4</v>
      </c>
      <c r="C41" s="147">
        <v>2.9</v>
      </c>
      <c r="D41" s="149">
        <v>2.8</v>
      </c>
      <c r="E41" s="149">
        <v>2.8</v>
      </c>
      <c r="F41" s="149">
        <v>2.8</v>
      </c>
      <c r="G41" s="149">
        <v>2.8</v>
      </c>
      <c r="H41" s="149">
        <v>2.8</v>
      </c>
      <c r="I41" s="150">
        <v>2.7</v>
      </c>
      <c r="J41" s="697" t="s">
        <v>5</v>
      </c>
      <c r="K41" s="144">
        <v>4</v>
      </c>
      <c r="L41" s="252">
        <v>2.7</v>
      </c>
      <c r="M41" s="228">
        <v>2.7</v>
      </c>
      <c r="N41" s="228">
        <v>2.7</v>
      </c>
      <c r="O41" s="152">
        <v>2.6</v>
      </c>
      <c r="P41" s="152">
        <v>2.6</v>
      </c>
      <c r="Q41" s="152">
        <v>2.6</v>
      </c>
      <c r="R41" s="253">
        <v>2.6</v>
      </c>
      <c r="S41" s="697" t="s">
        <v>5</v>
      </c>
      <c r="T41" s="144">
        <v>4</v>
      </c>
      <c r="U41" s="151">
        <v>2.6</v>
      </c>
      <c r="V41" s="153">
        <v>2.5</v>
      </c>
      <c r="W41" s="153">
        <v>2.5</v>
      </c>
      <c r="X41" s="153">
        <v>2.5</v>
      </c>
      <c r="Y41" s="153">
        <v>2.5</v>
      </c>
      <c r="Z41" s="153">
        <v>2.5</v>
      </c>
      <c r="AA41" s="154">
        <v>2.5</v>
      </c>
      <c r="AB41" s="697" t="s">
        <v>5</v>
      </c>
      <c r="AC41" s="144">
        <v>4</v>
      </c>
      <c r="AD41" s="155">
        <v>2.5</v>
      </c>
      <c r="AE41" s="153">
        <v>2.5</v>
      </c>
      <c r="AF41" s="153">
        <v>2.5</v>
      </c>
      <c r="AG41" s="153">
        <v>2.5</v>
      </c>
      <c r="AH41" s="153">
        <v>2.5</v>
      </c>
      <c r="AI41" s="153">
        <v>2.5</v>
      </c>
      <c r="AJ41" s="157">
        <v>2.4</v>
      </c>
      <c r="AK41" s="140"/>
      <c r="AL41" s="697" t="s">
        <v>5</v>
      </c>
      <c r="AM41" s="144">
        <v>4</v>
      </c>
      <c r="AN41" s="162">
        <v>1.6</v>
      </c>
      <c r="AO41" s="163">
        <v>1.6</v>
      </c>
      <c r="AP41" s="163">
        <v>1.6</v>
      </c>
      <c r="AQ41" s="163">
        <v>1.6</v>
      </c>
      <c r="AR41" s="163">
        <v>1.6</v>
      </c>
      <c r="AS41" s="163">
        <v>1.6</v>
      </c>
      <c r="AT41" s="164">
        <v>1.6</v>
      </c>
      <c r="AU41" s="697" t="s">
        <v>5</v>
      </c>
      <c r="AV41" s="144">
        <v>4</v>
      </c>
      <c r="AW41" s="254">
        <v>1.2</v>
      </c>
      <c r="AX41" s="255">
        <v>1.2</v>
      </c>
      <c r="AY41" s="255">
        <v>1.2</v>
      </c>
      <c r="AZ41" s="255">
        <v>1.2</v>
      </c>
      <c r="BA41" s="255">
        <v>1.2</v>
      </c>
      <c r="BB41" s="255">
        <v>1.2</v>
      </c>
      <c r="BC41" s="256">
        <v>1.2</v>
      </c>
      <c r="BD41" s="697" t="s">
        <v>5</v>
      </c>
      <c r="BE41" s="144">
        <v>4</v>
      </c>
      <c r="BF41" s="257">
        <v>1</v>
      </c>
      <c r="BG41" s="258">
        <v>1</v>
      </c>
      <c r="BH41" s="169">
        <v>0.9</v>
      </c>
      <c r="BI41" s="169">
        <v>0.9</v>
      </c>
      <c r="BJ41" s="169">
        <v>0.9</v>
      </c>
      <c r="BK41" s="169">
        <v>0.9</v>
      </c>
      <c r="BL41" s="235">
        <v>0.9</v>
      </c>
      <c r="BM41" s="697" t="s">
        <v>5</v>
      </c>
      <c r="BN41" s="144">
        <v>4</v>
      </c>
      <c r="BO41" s="168">
        <v>0.9</v>
      </c>
      <c r="BP41" s="169">
        <v>0.9</v>
      </c>
      <c r="BQ41" s="169">
        <v>0.9</v>
      </c>
      <c r="BR41" s="169">
        <v>0.9</v>
      </c>
      <c r="BS41" s="169">
        <v>0.9</v>
      </c>
      <c r="BT41" s="169">
        <v>0.9</v>
      </c>
      <c r="BU41" s="235">
        <v>0.9</v>
      </c>
      <c r="BY41" s="130">
        <v>20</v>
      </c>
      <c r="BZ41" s="139" t="e">
        <f>INDEX(AN77:AT83,MATCH($CA$17,AM77:AM83,0),MATCH($CC$17,AN76:AT76,0))</f>
        <v>#N/A</v>
      </c>
      <c r="CA41" s="139" t="e">
        <f>INDEX(AW77:BC83,MATCH($CA$17,AV77:AV83,0),MATCH($CC$17,AW76:BC76,0))</f>
        <v>#N/A</v>
      </c>
      <c r="CB41" s="139" t="e">
        <f>INDEX(BF77:BL83,MATCH($CA$17,BE77:BE83,0),MATCH($CC$17,BF76:BL76,0))</f>
        <v>#N/A</v>
      </c>
      <c r="CC41" s="139" t="e">
        <f>INDEX(BO77:BU83,MATCH($CA$17,BN77:BN83,0),MATCH($CC$17,BO76:BU76,0))</f>
        <v>#N/A</v>
      </c>
    </row>
    <row r="42" spans="1:87">
      <c r="A42" s="697"/>
      <c r="B42" s="144">
        <v>6</v>
      </c>
      <c r="C42" s="199">
        <v>2.8</v>
      </c>
      <c r="D42" s="177">
        <v>2.8</v>
      </c>
      <c r="E42" s="177">
        <v>2.8</v>
      </c>
      <c r="F42" s="177">
        <v>2.8</v>
      </c>
      <c r="G42" s="177">
        <v>2.8</v>
      </c>
      <c r="H42" s="177">
        <v>2.8</v>
      </c>
      <c r="I42" s="178">
        <v>2.7</v>
      </c>
      <c r="J42" s="697"/>
      <c r="K42" s="144">
        <v>6</v>
      </c>
      <c r="L42" s="237">
        <v>2.7</v>
      </c>
      <c r="M42" s="200">
        <v>2.7</v>
      </c>
      <c r="N42" s="180">
        <v>2.6</v>
      </c>
      <c r="O42" s="180">
        <v>2.6</v>
      </c>
      <c r="P42" s="180">
        <v>2.6</v>
      </c>
      <c r="Q42" s="180">
        <v>2.6</v>
      </c>
      <c r="R42" s="238">
        <v>2.6</v>
      </c>
      <c r="S42" s="697"/>
      <c r="T42" s="144">
        <v>6</v>
      </c>
      <c r="U42" s="183">
        <v>2.5</v>
      </c>
      <c r="V42" s="181">
        <v>2.5</v>
      </c>
      <c r="W42" s="181">
        <v>2.5</v>
      </c>
      <c r="X42" s="181">
        <v>2.5</v>
      </c>
      <c r="Y42" s="181">
        <v>2.5</v>
      </c>
      <c r="Z42" s="181">
        <v>2.5</v>
      </c>
      <c r="AA42" s="185">
        <v>2.4</v>
      </c>
      <c r="AB42" s="697"/>
      <c r="AC42" s="144">
        <v>6</v>
      </c>
      <c r="AD42" s="183">
        <v>2.5</v>
      </c>
      <c r="AE42" s="181">
        <v>2.5</v>
      </c>
      <c r="AF42" s="181">
        <v>2.5</v>
      </c>
      <c r="AG42" s="181">
        <v>2.5</v>
      </c>
      <c r="AH42" s="181">
        <v>2.5</v>
      </c>
      <c r="AI42" s="184">
        <v>2.4</v>
      </c>
      <c r="AJ42" s="185">
        <v>2.4</v>
      </c>
      <c r="AK42" s="140"/>
      <c r="AL42" s="697"/>
      <c r="AM42" s="144">
        <v>6</v>
      </c>
      <c r="AN42" s="190">
        <v>1.6</v>
      </c>
      <c r="AO42" s="191">
        <v>1.6</v>
      </c>
      <c r="AP42" s="191">
        <v>1.6</v>
      </c>
      <c r="AQ42" s="191">
        <v>1.6</v>
      </c>
      <c r="AR42" s="191">
        <v>1.6</v>
      </c>
      <c r="AS42" s="191">
        <v>1.6</v>
      </c>
      <c r="AT42" s="192">
        <v>1.6</v>
      </c>
      <c r="AU42" s="697"/>
      <c r="AV42" s="144">
        <v>6</v>
      </c>
      <c r="AW42" s="259">
        <v>1.2</v>
      </c>
      <c r="AX42" s="260">
        <v>1.2</v>
      </c>
      <c r="AY42" s="260">
        <v>1.2</v>
      </c>
      <c r="AZ42" s="260">
        <v>1.2</v>
      </c>
      <c r="BA42" s="260">
        <v>1.2</v>
      </c>
      <c r="BB42" s="260">
        <v>1.2</v>
      </c>
      <c r="BC42" s="261">
        <v>1.2</v>
      </c>
      <c r="BD42" s="697"/>
      <c r="BE42" s="144">
        <v>6</v>
      </c>
      <c r="BF42" s="262">
        <v>1</v>
      </c>
      <c r="BG42" s="245">
        <v>0.9</v>
      </c>
      <c r="BH42" s="245">
        <v>0.9</v>
      </c>
      <c r="BI42" s="245">
        <v>0.9</v>
      </c>
      <c r="BJ42" s="245">
        <v>0.9</v>
      </c>
      <c r="BK42" s="245">
        <v>0.9</v>
      </c>
      <c r="BL42" s="246">
        <v>0.9</v>
      </c>
      <c r="BM42" s="697"/>
      <c r="BN42" s="144">
        <v>6</v>
      </c>
      <c r="BO42" s="196">
        <v>0.9</v>
      </c>
      <c r="BP42" s="245">
        <v>0.9</v>
      </c>
      <c r="BQ42" s="245">
        <v>0.9</v>
      </c>
      <c r="BR42" s="245">
        <v>0.9</v>
      </c>
      <c r="BS42" s="245">
        <v>0.9</v>
      </c>
      <c r="BT42" s="245">
        <v>0.9</v>
      </c>
      <c r="BU42" s="246">
        <v>0.9</v>
      </c>
      <c r="BY42" s="130">
        <v>22</v>
      </c>
      <c r="BZ42" s="139" t="e">
        <f>INDEX(AN86:AT92,MATCH($CA$17,AM86:AM92,0),MATCH($CC$17,AN85:AT85,0))</f>
        <v>#N/A</v>
      </c>
      <c r="CA42" s="139" t="e">
        <f>INDEX(AW86:BC92,MATCH($CA$17,AV86:AV92,0),MATCH($CC$17,AW85:BC85,0))</f>
        <v>#N/A</v>
      </c>
      <c r="CB42" s="139" t="e">
        <f>INDEX(BF86:BL92,MATCH($CA$17,BE86:BE92,0),MATCH($CC$17,BF85:BL85,0))</f>
        <v>#N/A</v>
      </c>
      <c r="CC42" s="139" t="e">
        <f>INDEX(BO86:BU92,MATCH($CA$17,BN86:BN92,0),MATCH($CC$17,BO85:BU85,0))</f>
        <v>#N/A</v>
      </c>
    </row>
    <row r="43" spans="1:87">
      <c r="A43" s="697"/>
      <c r="B43" s="144">
        <v>8</v>
      </c>
      <c r="C43" s="199">
        <v>2.8</v>
      </c>
      <c r="D43" s="177">
        <v>2.8</v>
      </c>
      <c r="E43" s="177">
        <v>2.8</v>
      </c>
      <c r="F43" s="177">
        <v>2.8</v>
      </c>
      <c r="G43" s="177">
        <v>2.8</v>
      </c>
      <c r="H43" s="200">
        <v>2.7</v>
      </c>
      <c r="I43" s="178">
        <v>2.7</v>
      </c>
      <c r="J43" s="697"/>
      <c r="K43" s="144">
        <v>8</v>
      </c>
      <c r="L43" s="237">
        <v>2.7</v>
      </c>
      <c r="M43" s="180">
        <v>2.6</v>
      </c>
      <c r="N43" s="180">
        <v>2.6</v>
      </c>
      <c r="O43" s="180">
        <v>2.6</v>
      </c>
      <c r="P43" s="180">
        <v>2.6</v>
      </c>
      <c r="Q43" s="180">
        <v>2.6</v>
      </c>
      <c r="R43" s="238">
        <v>2.6</v>
      </c>
      <c r="S43" s="697"/>
      <c r="T43" s="144">
        <v>8</v>
      </c>
      <c r="U43" s="183">
        <v>2.5</v>
      </c>
      <c r="V43" s="181">
        <v>2.5</v>
      </c>
      <c r="W43" s="181">
        <v>2.5</v>
      </c>
      <c r="X43" s="181">
        <v>2.5</v>
      </c>
      <c r="Y43" s="181">
        <v>2.5</v>
      </c>
      <c r="Z43" s="181">
        <v>2.5</v>
      </c>
      <c r="AA43" s="185">
        <v>2.4</v>
      </c>
      <c r="AB43" s="697"/>
      <c r="AC43" s="144">
        <v>8</v>
      </c>
      <c r="AD43" s="183">
        <v>2.5</v>
      </c>
      <c r="AE43" s="181">
        <v>2.5</v>
      </c>
      <c r="AF43" s="181">
        <v>2.5</v>
      </c>
      <c r="AG43" s="181">
        <v>2.5</v>
      </c>
      <c r="AH43" s="181">
        <v>2.5</v>
      </c>
      <c r="AI43" s="184">
        <v>2.4</v>
      </c>
      <c r="AJ43" s="185">
        <v>2.4</v>
      </c>
      <c r="AK43" s="140"/>
      <c r="AL43" s="697"/>
      <c r="AM43" s="144">
        <v>8</v>
      </c>
      <c r="AN43" s="190">
        <v>1.6</v>
      </c>
      <c r="AO43" s="191">
        <v>1.6</v>
      </c>
      <c r="AP43" s="191">
        <v>1.6</v>
      </c>
      <c r="AQ43" s="191">
        <v>1.6</v>
      </c>
      <c r="AR43" s="191">
        <v>1.6</v>
      </c>
      <c r="AS43" s="191">
        <v>1.6</v>
      </c>
      <c r="AT43" s="192">
        <v>1.6</v>
      </c>
      <c r="AU43" s="697"/>
      <c r="AV43" s="144">
        <v>8</v>
      </c>
      <c r="AW43" s="259">
        <v>1.2</v>
      </c>
      <c r="AX43" s="260">
        <v>1.2</v>
      </c>
      <c r="AY43" s="260">
        <v>1.2</v>
      </c>
      <c r="AZ43" s="260">
        <v>1.2</v>
      </c>
      <c r="BA43" s="260">
        <v>1.2</v>
      </c>
      <c r="BB43" s="260">
        <v>1.2</v>
      </c>
      <c r="BC43" s="261">
        <v>1.2</v>
      </c>
      <c r="BD43" s="697"/>
      <c r="BE43" s="144">
        <v>8</v>
      </c>
      <c r="BF43" s="196">
        <v>0.9</v>
      </c>
      <c r="BG43" s="245">
        <v>0.9</v>
      </c>
      <c r="BH43" s="245">
        <v>0.9</v>
      </c>
      <c r="BI43" s="245">
        <v>0.9</v>
      </c>
      <c r="BJ43" s="245">
        <v>0.9</v>
      </c>
      <c r="BK43" s="245">
        <v>0.9</v>
      </c>
      <c r="BL43" s="246">
        <v>0.9</v>
      </c>
      <c r="BM43" s="697"/>
      <c r="BN43" s="144">
        <v>8</v>
      </c>
      <c r="BO43" s="196">
        <v>0.9</v>
      </c>
      <c r="BP43" s="245">
        <v>0.9</v>
      </c>
      <c r="BQ43" s="245">
        <v>0.9</v>
      </c>
      <c r="BR43" s="245">
        <v>0.9</v>
      </c>
      <c r="BS43" s="245">
        <v>0.9</v>
      </c>
      <c r="BT43" s="245">
        <v>0.9</v>
      </c>
      <c r="BU43" s="246">
        <v>0.9</v>
      </c>
      <c r="BY43" s="130">
        <v>24</v>
      </c>
      <c r="BZ43" s="139" t="e">
        <f>INDEX(AN95:AT101,MATCH($CA$17,AM95:AM101,0),MATCH($CC$17,AN94:AT94,0))</f>
        <v>#N/A</v>
      </c>
      <c r="CA43" s="139" t="e">
        <f>INDEX(AW95:BC101,MATCH($CA$17,AV95:AV101,0),MATCH($CC$17,AW94:BC94,0))</f>
        <v>#N/A</v>
      </c>
      <c r="CB43" s="139" t="e">
        <f>INDEX(BF95:BL101,MATCH($CA$17,BE95:BE101,0),MATCH($CC$17,BF94:BL94,0))</f>
        <v>#N/A</v>
      </c>
      <c r="CC43" s="139" t="e">
        <f>INDEX(BO95:BU101,MATCH($CA$17,BN95:BN101,0),MATCH($CC$17,BO94:BU94,0))</f>
        <v>#N/A</v>
      </c>
    </row>
    <row r="44" spans="1:87">
      <c r="A44" s="697"/>
      <c r="B44" s="144">
        <v>10</v>
      </c>
      <c r="C44" s="199">
        <v>2.8</v>
      </c>
      <c r="D44" s="177">
        <v>2.8</v>
      </c>
      <c r="E44" s="177">
        <v>2.8</v>
      </c>
      <c r="F44" s="177">
        <v>2.8</v>
      </c>
      <c r="G44" s="177">
        <v>2.8</v>
      </c>
      <c r="H44" s="200">
        <v>2.7</v>
      </c>
      <c r="I44" s="178">
        <v>2.7</v>
      </c>
      <c r="J44" s="697"/>
      <c r="K44" s="144">
        <v>10</v>
      </c>
      <c r="L44" s="179">
        <v>2.6</v>
      </c>
      <c r="M44" s="180">
        <v>2.6</v>
      </c>
      <c r="N44" s="180">
        <v>2.6</v>
      </c>
      <c r="O44" s="180">
        <v>2.6</v>
      </c>
      <c r="P44" s="180">
        <v>2.6</v>
      </c>
      <c r="Q44" s="180">
        <v>2.6</v>
      </c>
      <c r="R44" s="182">
        <v>2.5</v>
      </c>
      <c r="S44" s="697"/>
      <c r="T44" s="144">
        <v>10</v>
      </c>
      <c r="U44" s="183">
        <v>2.5</v>
      </c>
      <c r="V44" s="181">
        <v>2.5</v>
      </c>
      <c r="W44" s="181">
        <v>2.5</v>
      </c>
      <c r="X44" s="181">
        <v>2.5</v>
      </c>
      <c r="Y44" s="181">
        <v>2.5</v>
      </c>
      <c r="Z44" s="184">
        <v>2.4</v>
      </c>
      <c r="AA44" s="185">
        <v>2.4</v>
      </c>
      <c r="AB44" s="697"/>
      <c r="AC44" s="144">
        <v>10</v>
      </c>
      <c r="AD44" s="183">
        <v>2.5</v>
      </c>
      <c r="AE44" s="181">
        <v>2.5</v>
      </c>
      <c r="AF44" s="181">
        <v>2.5</v>
      </c>
      <c r="AG44" s="181">
        <v>2.5</v>
      </c>
      <c r="AH44" s="184">
        <v>2.4</v>
      </c>
      <c r="AI44" s="184">
        <v>2.4</v>
      </c>
      <c r="AJ44" s="185">
        <v>2.4</v>
      </c>
      <c r="AK44" s="140"/>
      <c r="AL44" s="697"/>
      <c r="AM44" s="144">
        <v>10</v>
      </c>
      <c r="AN44" s="190">
        <v>1.6</v>
      </c>
      <c r="AO44" s="191">
        <v>1.6</v>
      </c>
      <c r="AP44" s="191">
        <v>1.6</v>
      </c>
      <c r="AQ44" s="191">
        <v>1.6</v>
      </c>
      <c r="AR44" s="191">
        <v>1.6</v>
      </c>
      <c r="AS44" s="191">
        <v>1.6</v>
      </c>
      <c r="AT44" s="192">
        <v>1.6</v>
      </c>
      <c r="AU44" s="697"/>
      <c r="AV44" s="144">
        <v>10</v>
      </c>
      <c r="AW44" s="259">
        <v>1.2</v>
      </c>
      <c r="AX44" s="260">
        <v>1.2</v>
      </c>
      <c r="AY44" s="260">
        <v>1.2</v>
      </c>
      <c r="AZ44" s="260">
        <v>1.2</v>
      </c>
      <c r="BA44" s="260">
        <v>1.2</v>
      </c>
      <c r="BB44" s="260">
        <v>1.2</v>
      </c>
      <c r="BC44" s="261">
        <v>1.2</v>
      </c>
      <c r="BD44" s="697"/>
      <c r="BE44" s="144">
        <v>10</v>
      </c>
      <c r="BF44" s="196">
        <v>0.9</v>
      </c>
      <c r="BG44" s="245">
        <v>0.9</v>
      </c>
      <c r="BH44" s="245">
        <v>0.9</v>
      </c>
      <c r="BI44" s="245">
        <v>0.9</v>
      </c>
      <c r="BJ44" s="245">
        <v>0.9</v>
      </c>
      <c r="BK44" s="245">
        <v>0.9</v>
      </c>
      <c r="BL44" s="246">
        <v>0.9</v>
      </c>
      <c r="BM44" s="697"/>
      <c r="BN44" s="144">
        <v>10</v>
      </c>
      <c r="BO44" s="196">
        <v>0.9</v>
      </c>
      <c r="BP44" s="245">
        <v>0.9</v>
      </c>
      <c r="BQ44" s="245">
        <v>0.9</v>
      </c>
      <c r="BR44" s="245">
        <v>0.9</v>
      </c>
      <c r="BS44" s="245">
        <v>0.9</v>
      </c>
      <c r="BT44" s="245">
        <v>0.9</v>
      </c>
      <c r="BU44" s="246">
        <v>0.9</v>
      </c>
    </row>
    <row r="45" spans="1:87">
      <c r="A45" s="697"/>
      <c r="B45" s="144">
        <v>12</v>
      </c>
      <c r="C45" s="199">
        <v>2.8</v>
      </c>
      <c r="D45" s="177">
        <v>2.8</v>
      </c>
      <c r="E45" s="177">
        <v>2.8</v>
      </c>
      <c r="F45" s="177">
        <v>2.8</v>
      </c>
      <c r="G45" s="200">
        <v>2.7</v>
      </c>
      <c r="H45" s="200">
        <v>2.7</v>
      </c>
      <c r="I45" s="178">
        <v>2.7</v>
      </c>
      <c r="J45" s="697"/>
      <c r="K45" s="144">
        <v>12</v>
      </c>
      <c r="L45" s="179">
        <v>2.6</v>
      </c>
      <c r="M45" s="180">
        <v>2.6</v>
      </c>
      <c r="N45" s="180">
        <v>2.6</v>
      </c>
      <c r="O45" s="180">
        <v>2.6</v>
      </c>
      <c r="P45" s="180">
        <v>2.6</v>
      </c>
      <c r="Q45" s="180">
        <v>2.6</v>
      </c>
      <c r="R45" s="182">
        <v>2.5</v>
      </c>
      <c r="S45" s="697"/>
      <c r="T45" s="144">
        <v>12</v>
      </c>
      <c r="U45" s="183">
        <v>2.5</v>
      </c>
      <c r="V45" s="181">
        <v>2.5</v>
      </c>
      <c r="W45" s="181">
        <v>2.5</v>
      </c>
      <c r="X45" s="181">
        <v>2.5</v>
      </c>
      <c r="Y45" s="181">
        <v>2.5</v>
      </c>
      <c r="Z45" s="184">
        <v>2.4</v>
      </c>
      <c r="AA45" s="185">
        <v>2.4</v>
      </c>
      <c r="AB45" s="697"/>
      <c r="AC45" s="144">
        <v>12</v>
      </c>
      <c r="AD45" s="183">
        <v>2.5</v>
      </c>
      <c r="AE45" s="181">
        <v>2.5</v>
      </c>
      <c r="AF45" s="181">
        <v>2.5</v>
      </c>
      <c r="AG45" s="184">
        <v>2.4</v>
      </c>
      <c r="AH45" s="184">
        <v>2.4</v>
      </c>
      <c r="AI45" s="184">
        <v>2.4</v>
      </c>
      <c r="AJ45" s="185">
        <v>2.4</v>
      </c>
      <c r="AK45" s="140"/>
      <c r="AL45" s="697"/>
      <c r="AM45" s="144">
        <v>12</v>
      </c>
      <c r="AN45" s="205"/>
      <c r="AO45" s="206"/>
      <c r="AP45" s="206"/>
      <c r="AQ45" s="206"/>
      <c r="AR45" s="206"/>
      <c r="AS45" s="206"/>
      <c r="AT45" s="207"/>
      <c r="AU45" s="697"/>
      <c r="AV45" s="144">
        <v>12</v>
      </c>
      <c r="AW45" s="205"/>
      <c r="AX45" s="206"/>
      <c r="AY45" s="206"/>
      <c r="AZ45" s="206"/>
      <c r="BA45" s="206"/>
      <c r="BB45" s="206"/>
      <c r="BC45" s="207"/>
      <c r="BD45" s="697"/>
      <c r="BE45" s="144">
        <v>12</v>
      </c>
      <c r="BF45" s="205"/>
      <c r="BG45" s="206"/>
      <c r="BH45" s="206"/>
      <c r="BI45" s="206"/>
      <c r="BJ45" s="206"/>
      <c r="BK45" s="206"/>
      <c r="BL45" s="207"/>
      <c r="BM45" s="697"/>
      <c r="BN45" s="144">
        <v>12</v>
      </c>
      <c r="BO45" s="205"/>
      <c r="BP45" s="206"/>
      <c r="BQ45" s="206"/>
      <c r="BR45" s="206"/>
      <c r="BS45" s="206"/>
      <c r="BT45" s="206"/>
      <c r="BU45" s="207"/>
    </row>
    <row r="46" spans="1:87">
      <c r="A46" s="697"/>
      <c r="B46" s="144">
        <v>15</v>
      </c>
      <c r="C46" s="199">
        <v>2.8</v>
      </c>
      <c r="D46" s="177">
        <v>2.8</v>
      </c>
      <c r="E46" s="200">
        <v>2.7</v>
      </c>
      <c r="F46" s="200">
        <v>2.7</v>
      </c>
      <c r="G46" s="200">
        <v>2.7</v>
      </c>
      <c r="H46" s="200">
        <v>2.7</v>
      </c>
      <c r="I46" s="178">
        <v>2.7</v>
      </c>
      <c r="J46" s="697"/>
      <c r="K46" s="144">
        <v>15</v>
      </c>
      <c r="L46" s="179">
        <v>2.6</v>
      </c>
      <c r="M46" s="180">
        <v>2.6</v>
      </c>
      <c r="N46" s="180">
        <v>2.6</v>
      </c>
      <c r="O46" s="180">
        <v>2.6</v>
      </c>
      <c r="P46" s="180">
        <v>2.6</v>
      </c>
      <c r="Q46" s="181">
        <v>2.5</v>
      </c>
      <c r="R46" s="182">
        <v>2.5</v>
      </c>
      <c r="S46" s="697"/>
      <c r="T46" s="144">
        <v>15</v>
      </c>
      <c r="U46" s="183">
        <v>2.5</v>
      </c>
      <c r="V46" s="181">
        <v>2.5</v>
      </c>
      <c r="W46" s="181">
        <v>2.5</v>
      </c>
      <c r="X46" s="184">
        <v>2.4</v>
      </c>
      <c r="Y46" s="184">
        <v>2.4</v>
      </c>
      <c r="Z46" s="184">
        <v>2.4</v>
      </c>
      <c r="AA46" s="185">
        <v>2.4</v>
      </c>
      <c r="AB46" s="697"/>
      <c r="AC46" s="144">
        <v>15</v>
      </c>
      <c r="AD46" s="183">
        <v>2.5</v>
      </c>
      <c r="AE46" s="184">
        <v>2.4</v>
      </c>
      <c r="AF46" s="184">
        <v>2.4</v>
      </c>
      <c r="AG46" s="184">
        <v>2.4</v>
      </c>
      <c r="AH46" s="184">
        <v>2.4</v>
      </c>
      <c r="AI46" s="184">
        <v>2.4</v>
      </c>
      <c r="AJ46" s="185">
        <v>2.4</v>
      </c>
      <c r="AK46" s="140"/>
      <c r="AL46" s="697"/>
      <c r="AM46" s="144">
        <v>15</v>
      </c>
      <c r="AN46" s="205"/>
      <c r="AO46" s="206"/>
      <c r="AP46" s="206"/>
      <c r="AQ46" s="206"/>
      <c r="AR46" s="206"/>
      <c r="AS46" s="206"/>
      <c r="AT46" s="207"/>
      <c r="AU46" s="697"/>
      <c r="AV46" s="144">
        <v>15</v>
      </c>
      <c r="AW46" s="205"/>
      <c r="AX46" s="206"/>
      <c r="AY46" s="206"/>
      <c r="AZ46" s="206"/>
      <c r="BA46" s="206"/>
      <c r="BB46" s="206"/>
      <c r="BC46" s="207"/>
      <c r="BD46" s="697"/>
      <c r="BE46" s="144">
        <v>15</v>
      </c>
      <c r="BF46" s="205"/>
      <c r="BG46" s="206"/>
      <c r="BH46" s="206"/>
      <c r="BI46" s="206"/>
      <c r="BJ46" s="206"/>
      <c r="BK46" s="206"/>
      <c r="BL46" s="207"/>
      <c r="BM46" s="697"/>
      <c r="BN46" s="144">
        <v>15</v>
      </c>
      <c r="BO46" s="205"/>
      <c r="BP46" s="206"/>
      <c r="BQ46" s="206"/>
      <c r="BR46" s="206"/>
      <c r="BS46" s="206"/>
      <c r="BT46" s="206"/>
      <c r="BU46" s="207"/>
      <c r="BY46" s="695" t="s">
        <v>514</v>
      </c>
      <c r="BZ46" s="695"/>
      <c r="CA46" s="695"/>
      <c r="CB46" s="695"/>
      <c r="CC46" s="695"/>
      <c r="CF46" s="288" t="s">
        <v>490</v>
      </c>
      <c r="CG46" s="139" t="e">
        <f>INDEX(BZ48:CC52,MATCH($CB$17,BY48:BY52,0),MATCH($BZ$17,BZ47:CC47,0))</f>
        <v>#N/A</v>
      </c>
    </row>
    <row r="47" spans="1:87" ht="13.5" thickBot="1">
      <c r="A47" s="697"/>
      <c r="B47" s="209">
        <v>19</v>
      </c>
      <c r="C47" s="213">
        <v>2.7</v>
      </c>
      <c r="D47" s="214">
        <v>2.7</v>
      </c>
      <c r="E47" s="214">
        <v>2.7</v>
      </c>
      <c r="F47" s="214">
        <v>2.7</v>
      </c>
      <c r="G47" s="214">
        <v>2.7</v>
      </c>
      <c r="H47" s="214">
        <v>2.7</v>
      </c>
      <c r="I47" s="215">
        <v>2.6</v>
      </c>
      <c r="J47" s="697"/>
      <c r="K47" s="209">
        <v>19</v>
      </c>
      <c r="L47" s="263">
        <v>2.6</v>
      </c>
      <c r="M47" s="250">
        <v>2.6</v>
      </c>
      <c r="N47" s="250">
        <v>2.6</v>
      </c>
      <c r="O47" s="217">
        <v>2.5</v>
      </c>
      <c r="P47" s="217">
        <v>2.5</v>
      </c>
      <c r="Q47" s="217">
        <v>2.5</v>
      </c>
      <c r="R47" s="251">
        <v>2.5</v>
      </c>
      <c r="S47" s="697"/>
      <c r="T47" s="209">
        <v>19</v>
      </c>
      <c r="U47" s="216">
        <v>2.5</v>
      </c>
      <c r="V47" s="218">
        <v>2.4</v>
      </c>
      <c r="W47" s="218">
        <v>2.4</v>
      </c>
      <c r="X47" s="218">
        <v>2.4</v>
      </c>
      <c r="Y47" s="218">
        <v>2.4</v>
      </c>
      <c r="Z47" s="218">
        <v>2.4</v>
      </c>
      <c r="AA47" s="219">
        <v>2.4</v>
      </c>
      <c r="AB47" s="697"/>
      <c r="AC47" s="209">
        <v>19</v>
      </c>
      <c r="AD47" s="220">
        <v>2.4</v>
      </c>
      <c r="AE47" s="218">
        <v>2.4</v>
      </c>
      <c r="AF47" s="218">
        <v>2.4</v>
      </c>
      <c r="AG47" s="218">
        <v>2.4</v>
      </c>
      <c r="AH47" s="218">
        <v>2.4</v>
      </c>
      <c r="AI47" s="218">
        <v>2.4</v>
      </c>
      <c r="AJ47" s="221">
        <v>2.2999999999999998</v>
      </c>
      <c r="AK47" s="140"/>
      <c r="AL47" s="697"/>
      <c r="AM47" s="209">
        <v>19</v>
      </c>
      <c r="AN47" s="222"/>
      <c r="AO47" s="223"/>
      <c r="AP47" s="223"/>
      <c r="AQ47" s="223"/>
      <c r="AR47" s="223"/>
      <c r="AS47" s="223"/>
      <c r="AT47" s="224"/>
      <c r="AU47" s="697"/>
      <c r="AV47" s="209">
        <v>19</v>
      </c>
      <c r="AW47" s="222"/>
      <c r="AX47" s="223"/>
      <c r="AY47" s="223"/>
      <c r="AZ47" s="223"/>
      <c r="BA47" s="223"/>
      <c r="BB47" s="223"/>
      <c r="BC47" s="224"/>
      <c r="BD47" s="697"/>
      <c r="BE47" s="209">
        <v>19</v>
      </c>
      <c r="BF47" s="222"/>
      <c r="BG47" s="223"/>
      <c r="BH47" s="223"/>
      <c r="BI47" s="223"/>
      <c r="BJ47" s="223"/>
      <c r="BK47" s="223"/>
      <c r="BL47" s="224"/>
      <c r="BM47" s="697"/>
      <c r="BN47" s="209">
        <v>19</v>
      </c>
      <c r="BO47" s="222"/>
      <c r="BP47" s="223"/>
      <c r="BQ47" s="223"/>
      <c r="BR47" s="223"/>
      <c r="BS47" s="223"/>
      <c r="BT47" s="223"/>
      <c r="BU47" s="224"/>
      <c r="BY47" s="139" t="s">
        <v>515</v>
      </c>
      <c r="BZ47" s="76" t="s">
        <v>500</v>
      </c>
      <c r="CA47" s="76" t="s">
        <v>501</v>
      </c>
      <c r="CB47" s="76" t="s">
        <v>502</v>
      </c>
      <c r="CC47" s="76" t="s">
        <v>503</v>
      </c>
      <c r="CF47" s="288" t="s">
        <v>491</v>
      </c>
      <c r="CG47" s="139" t="e">
        <f>INDEX(BZ56:CC60,MATCH($CB$17,BY56:BY60,0),MATCH($BZ$17,BZ55:CC55,0))</f>
        <v>#N/A</v>
      </c>
    </row>
    <row r="48" spans="1:87" ht="13.5" thickBot="1">
      <c r="C48" s="696" t="s">
        <v>6</v>
      </c>
      <c r="D48" s="696"/>
      <c r="E48" s="696"/>
      <c r="F48" s="696"/>
      <c r="G48" s="696"/>
      <c r="H48" s="696"/>
      <c r="I48" s="696"/>
      <c r="L48" s="696" t="s">
        <v>6</v>
      </c>
      <c r="M48" s="696"/>
      <c r="N48" s="696"/>
      <c r="O48" s="696"/>
      <c r="P48" s="696"/>
      <c r="Q48" s="696"/>
      <c r="R48" s="696"/>
      <c r="U48" s="696" t="s">
        <v>6</v>
      </c>
      <c r="V48" s="696"/>
      <c r="W48" s="696"/>
      <c r="X48" s="696"/>
      <c r="Y48" s="696"/>
      <c r="Z48" s="696"/>
      <c r="AA48" s="696"/>
      <c r="AD48" s="696" t="s">
        <v>6</v>
      </c>
      <c r="AE48" s="696"/>
      <c r="AF48" s="696"/>
      <c r="AG48" s="696"/>
      <c r="AH48" s="696"/>
      <c r="AI48" s="696"/>
      <c r="AJ48" s="696"/>
      <c r="AK48" s="140"/>
      <c r="AN48" s="696" t="s">
        <v>6</v>
      </c>
      <c r="AO48" s="696"/>
      <c r="AP48" s="696"/>
      <c r="AQ48" s="696"/>
      <c r="AR48" s="696"/>
      <c r="AS48" s="696"/>
      <c r="AT48" s="696"/>
      <c r="AW48" s="696" t="s">
        <v>6</v>
      </c>
      <c r="AX48" s="696"/>
      <c r="AY48" s="696"/>
      <c r="AZ48" s="696"/>
      <c r="BA48" s="696"/>
      <c r="BB48" s="696"/>
      <c r="BC48" s="696"/>
      <c r="BF48" s="696" t="s">
        <v>6</v>
      </c>
      <c r="BG48" s="696"/>
      <c r="BH48" s="696"/>
      <c r="BI48" s="696"/>
      <c r="BJ48" s="696"/>
      <c r="BK48" s="696"/>
      <c r="BL48" s="696"/>
      <c r="BO48" s="696" t="s">
        <v>6</v>
      </c>
      <c r="BP48" s="696"/>
      <c r="BQ48" s="696"/>
      <c r="BR48" s="696"/>
      <c r="BS48" s="696"/>
      <c r="BT48" s="696"/>
      <c r="BU48" s="696"/>
      <c r="BY48" s="139">
        <v>6</v>
      </c>
      <c r="BZ48" s="139" t="e">
        <f>VLOOKUP($CA$17,E106:F108,2,FALSE)</f>
        <v>#N/A</v>
      </c>
      <c r="CA48" s="139" t="e">
        <f>VLOOKUP($CA$17,N106:O108,2,FALSE)</f>
        <v>#N/A</v>
      </c>
      <c r="CB48" s="139" t="e">
        <f>VLOOKUP($CA$17,W106:X108,2,FALSE)</f>
        <v>#N/A</v>
      </c>
      <c r="CC48" s="139" t="e">
        <f>VLOOKUP($CA$17,AF106:AG108,2,FALSE)</f>
        <v>#N/A</v>
      </c>
      <c r="CF48" s="288" t="s">
        <v>492</v>
      </c>
      <c r="CG48" s="139" t="e">
        <f>INDEX(BZ64:CC68,MATCH($CB$17,BY64:BY68,0),MATCH($BZ$17,BZ63:CC63,0))</f>
        <v>#N/A</v>
      </c>
    </row>
    <row r="49" spans="1:81" ht="13.5" thickBot="1">
      <c r="B49" s="141">
        <v>14</v>
      </c>
      <c r="C49" s="142">
        <v>4</v>
      </c>
      <c r="D49" s="142">
        <v>6</v>
      </c>
      <c r="E49" s="142">
        <v>8</v>
      </c>
      <c r="F49" s="142">
        <v>10</v>
      </c>
      <c r="G49" s="142">
        <v>12</v>
      </c>
      <c r="H49" s="142">
        <v>15</v>
      </c>
      <c r="I49" s="143">
        <v>19</v>
      </c>
      <c r="K49" s="141">
        <v>14</v>
      </c>
      <c r="L49" s="142">
        <v>4</v>
      </c>
      <c r="M49" s="142">
        <v>6</v>
      </c>
      <c r="N49" s="142">
        <v>8</v>
      </c>
      <c r="O49" s="142">
        <v>10</v>
      </c>
      <c r="P49" s="142">
        <v>12</v>
      </c>
      <c r="Q49" s="142">
        <v>15</v>
      </c>
      <c r="R49" s="143">
        <v>19</v>
      </c>
      <c r="T49" s="141">
        <v>14</v>
      </c>
      <c r="U49" s="142">
        <v>4</v>
      </c>
      <c r="V49" s="142">
        <v>6</v>
      </c>
      <c r="W49" s="142">
        <v>8</v>
      </c>
      <c r="X49" s="142">
        <v>10</v>
      </c>
      <c r="Y49" s="142">
        <v>12</v>
      </c>
      <c r="Z49" s="142">
        <v>15</v>
      </c>
      <c r="AA49" s="143">
        <v>19</v>
      </c>
      <c r="AC49" s="141">
        <v>14</v>
      </c>
      <c r="AD49" s="142">
        <v>4</v>
      </c>
      <c r="AE49" s="142">
        <v>6</v>
      </c>
      <c r="AF49" s="142">
        <v>8</v>
      </c>
      <c r="AG49" s="142">
        <v>10</v>
      </c>
      <c r="AH49" s="142">
        <v>12</v>
      </c>
      <c r="AI49" s="142">
        <v>15</v>
      </c>
      <c r="AJ49" s="143">
        <v>19</v>
      </c>
      <c r="AK49" s="140"/>
      <c r="AM49" s="141">
        <v>14</v>
      </c>
      <c r="AN49" s="142">
        <v>4</v>
      </c>
      <c r="AO49" s="142">
        <v>6</v>
      </c>
      <c r="AP49" s="142">
        <v>8</v>
      </c>
      <c r="AQ49" s="142">
        <v>10</v>
      </c>
      <c r="AR49" s="142">
        <v>12</v>
      </c>
      <c r="AS49" s="142">
        <v>15</v>
      </c>
      <c r="AT49" s="143">
        <v>19</v>
      </c>
      <c r="AV49" s="141">
        <v>14</v>
      </c>
      <c r="AW49" s="142">
        <v>4</v>
      </c>
      <c r="AX49" s="142">
        <v>6</v>
      </c>
      <c r="AY49" s="142">
        <v>8</v>
      </c>
      <c r="AZ49" s="142">
        <v>10</v>
      </c>
      <c r="BA49" s="142">
        <v>12</v>
      </c>
      <c r="BB49" s="142">
        <v>15</v>
      </c>
      <c r="BC49" s="143">
        <v>19</v>
      </c>
      <c r="BE49" s="141">
        <v>14</v>
      </c>
      <c r="BF49" s="142">
        <v>4</v>
      </c>
      <c r="BG49" s="142">
        <v>6</v>
      </c>
      <c r="BH49" s="142">
        <v>8</v>
      </c>
      <c r="BI49" s="142">
        <v>10</v>
      </c>
      <c r="BJ49" s="142">
        <v>12</v>
      </c>
      <c r="BK49" s="142">
        <v>15</v>
      </c>
      <c r="BL49" s="143">
        <v>19</v>
      </c>
      <c r="BN49" s="141">
        <v>14</v>
      </c>
      <c r="BO49" s="142">
        <v>4</v>
      </c>
      <c r="BP49" s="142">
        <v>6</v>
      </c>
      <c r="BQ49" s="142">
        <v>8</v>
      </c>
      <c r="BR49" s="142">
        <v>10</v>
      </c>
      <c r="BS49" s="142">
        <v>12</v>
      </c>
      <c r="BT49" s="142">
        <v>15</v>
      </c>
      <c r="BU49" s="143">
        <v>19</v>
      </c>
      <c r="BY49" s="139">
        <v>8</v>
      </c>
      <c r="BZ49" s="139" t="e">
        <f>VLOOKUP($CA$17,E110:F112,2,FALSE)</f>
        <v>#N/A</v>
      </c>
      <c r="CA49" s="139" t="e">
        <f>VLOOKUP($CA$17,N110:O112,2,FALSE)</f>
        <v>#N/A</v>
      </c>
      <c r="CB49" s="139" t="e">
        <f>VLOOKUP($CA$17,W110:X112,2,FALSE)</f>
        <v>#N/A</v>
      </c>
      <c r="CC49" s="139" t="e">
        <f>VLOOKUP($CA$17,AF110:AG112,2,FALSE)</f>
        <v>#N/A</v>
      </c>
    </row>
    <row r="50" spans="1:81" ht="15" customHeight="1">
      <c r="A50" s="697" t="s">
        <v>5</v>
      </c>
      <c r="B50" s="144">
        <v>4</v>
      </c>
      <c r="C50" s="227">
        <v>2.8</v>
      </c>
      <c r="D50" s="149">
        <v>2.8</v>
      </c>
      <c r="E50" s="149">
        <v>2.8</v>
      </c>
      <c r="F50" s="228">
        <v>2.7</v>
      </c>
      <c r="G50" s="228">
        <v>2.7</v>
      </c>
      <c r="H50" s="228">
        <v>2.7</v>
      </c>
      <c r="I50" s="150">
        <v>2.7</v>
      </c>
      <c r="J50" s="697" t="s">
        <v>5</v>
      </c>
      <c r="K50" s="144">
        <v>4</v>
      </c>
      <c r="L50" s="151">
        <v>2.6</v>
      </c>
      <c r="M50" s="152">
        <v>2.6</v>
      </c>
      <c r="N50" s="152">
        <v>2.6</v>
      </c>
      <c r="O50" s="152">
        <v>2.6</v>
      </c>
      <c r="P50" s="152">
        <v>2.6</v>
      </c>
      <c r="Q50" s="152">
        <v>2.6</v>
      </c>
      <c r="R50" s="154">
        <v>2.5</v>
      </c>
      <c r="S50" s="697" t="s">
        <v>5</v>
      </c>
      <c r="T50" s="144">
        <v>4</v>
      </c>
      <c r="U50" s="151">
        <v>2.6</v>
      </c>
      <c r="V50" s="153">
        <v>2.5</v>
      </c>
      <c r="W50" s="153">
        <v>2.5</v>
      </c>
      <c r="X50" s="153">
        <v>2.5</v>
      </c>
      <c r="Y50" s="153">
        <v>2.5</v>
      </c>
      <c r="Z50" s="153">
        <v>2.5</v>
      </c>
      <c r="AA50" s="154">
        <v>2.5</v>
      </c>
      <c r="AB50" s="697" t="s">
        <v>5</v>
      </c>
      <c r="AC50" s="144">
        <v>4</v>
      </c>
      <c r="AD50" s="155">
        <v>2.5</v>
      </c>
      <c r="AE50" s="153">
        <v>2.5</v>
      </c>
      <c r="AF50" s="153">
        <v>2.5</v>
      </c>
      <c r="AG50" s="153">
        <v>2.5</v>
      </c>
      <c r="AH50" s="153">
        <v>2.5</v>
      </c>
      <c r="AI50" s="153">
        <v>2.5</v>
      </c>
      <c r="AJ50" s="157">
        <v>2.4</v>
      </c>
      <c r="AK50" s="140"/>
      <c r="AL50" s="697" t="s">
        <v>5</v>
      </c>
      <c r="AM50" s="144">
        <v>4</v>
      </c>
      <c r="AN50" s="232">
        <v>1.4</v>
      </c>
      <c r="AO50" s="233">
        <v>1.4</v>
      </c>
      <c r="AP50" s="233">
        <v>1.4</v>
      </c>
      <c r="AQ50" s="233">
        <v>1.4</v>
      </c>
      <c r="AR50" s="233">
        <v>1.4</v>
      </c>
      <c r="AS50" s="233">
        <v>1.4</v>
      </c>
      <c r="AT50" s="234">
        <v>1.4</v>
      </c>
      <c r="AU50" s="697" t="s">
        <v>5</v>
      </c>
      <c r="AV50" s="144">
        <v>4</v>
      </c>
      <c r="AW50" s="165">
        <v>1.1000000000000001</v>
      </c>
      <c r="AX50" s="166">
        <v>1.1000000000000001</v>
      </c>
      <c r="AY50" s="166">
        <v>1.1000000000000001</v>
      </c>
      <c r="AZ50" s="166">
        <v>1.1000000000000001</v>
      </c>
      <c r="BA50" s="166">
        <v>1.1000000000000001</v>
      </c>
      <c r="BB50" s="166">
        <v>1.1000000000000001</v>
      </c>
      <c r="BC50" s="264">
        <v>1.1000000000000001</v>
      </c>
      <c r="BD50" s="697" t="s">
        <v>5</v>
      </c>
      <c r="BE50" s="144">
        <v>4</v>
      </c>
      <c r="BF50" s="257">
        <v>1</v>
      </c>
      <c r="BG50" s="258">
        <v>1</v>
      </c>
      <c r="BH50" s="258">
        <v>1</v>
      </c>
      <c r="BI50" s="258">
        <v>1</v>
      </c>
      <c r="BJ50" s="258">
        <v>1</v>
      </c>
      <c r="BK50" s="258">
        <v>1</v>
      </c>
      <c r="BL50" s="167">
        <v>1</v>
      </c>
      <c r="BM50" s="697" t="s">
        <v>5</v>
      </c>
      <c r="BN50" s="144">
        <v>4</v>
      </c>
      <c r="BO50" s="168">
        <v>0.9</v>
      </c>
      <c r="BP50" s="169">
        <v>0.9</v>
      </c>
      <c r="BQ50" s="169">
        <v>0.9</v>
      </c>
      <c r="BR50" s="169">
        <v>0.9</v>
      </c>
      <c r="BS50" s="169">
        <v>0.9</v>
      </c>
      <c r="BT50" s="169">
        <v>0.9</v>
      </c>
      <c r="BU50" s="235">
        <v>0.9</v>
      </c>
      <c r="BY50" s="139">
        <v>10</v>
      </c>
      <c r="BZ50" s="139" t="e">
        <f>VLOOKUP($CA$17,E114:F116,2,FALSE)</f>
        <v>#N/A</v>
      </c>
      <c r="CA50" s="139" t="e">
        <f>VLOOKUP($CA$17,N114:O116,2,FALSE)</f>
        <v>#N/A</v>
      </c>
      <c r="CB50" s="139" t="e">
        <f>VLOOKUP($CA$17,W114:X116,2,FALSE)</f>
        <v>#N/A</v>
      </c>
      <c r="CC50" s="139" t="e">
        <f>VLOOKUP($CA$17,AF114:AG116,2,FALSE)</f>
        <v>#N/A</v>
      </c>
    </row>
    <row r="51" spans="1:81">
      <c r="A51" s="697"/>
      <c r="B51" s="144">
        <v>6</v>
      </c>
      <c r="C51" s="199">
        <v>2.8</v>
      </c>
      <c r="D51" s="177">
        <v>2.8</v>
      </c>
      <c r="E51" s="200">
        <v>2.7</v>
      </c>
      <c r="F51" s="200">
        <v>2.7</v>
      </c>
      <c r="G51" s="200">
        <v>2.7</v>
      </c>
      <c r="H51" s="200">
        <v>2.7</v>
      </c>
      <c r="I51" s="178">
        <v>2.7</v>
      </c>
      <c r="J51" s="697"/>
      <c r="K51" s="144">
        <v>6</v>
      </c>
      <c r="L51" s="179">
        <v>2.6</v>
      </c>
      <c r="M51" s="180">
        <v>2.6</v>
      </c>
      <c r="N51" s="180">
        <v>2.6</v>
      </c>
      <c r="O51" s="180">
        <v>2.6</v>
      </c>
      <c r="P51" s="180">
        <v>2.6</v>
      </c>
      <c r="Q51" s="181">
        <v>2.5</v>
      </c>
      <c r="R51" s="182">
        <v>2.5</v>
      </c>
      <c r="S51" s="697"/>
      <c r="T51" s="144">
        <v>6</v>
      </c>
      <c r="U51" s="183">
        <v>2.5</v>
      </c>
      <c r="V51" s="181">
        <v>2.5</v>
      </c>
      <c r="W51" s="181">
        <v>2.5</v>
      </c>
      <c r="X51" s="181">
        <v>2.5</v>
      </c>
      <c r="Y51" s="181">
        <v>2.5</v>
      </c>
      <c r="Z51" s="181">
        <v>2.5</v>
      </c>
      <c r="AA51" s="182">
        <v>2.5</v>
      </c>
      <c r="AB51" s="697"/>
      <c r="AC51" s="144">
        <v>6</v>
      </c>
      <c r="AD51" s="183">
        <v>2.5</v>
      </c>
      <c r="AE51" s="181">
        <v>2.5</v>
      </c>
      <c r="AF51" s="181">
        <v>2.5</v>
      </c>
      <c r="AG51" s="181">
        <v>2.5</v>
      </c>
      <c r="AH51" s="181">
        <v>2.5</v>
      </c>
      <c r="AI51" s="181">
        <v>2.5</v>
      </c>
      <c r="AJ51" s="185">
        <v>2.4</v>
      </c>
      <c r="AK51" s="140"/>
      <c r="AL51" s="697"/>
      <c r="AM51" s="144">
        <v>6</v>
      </c>
      <c r="AN51" s="242">
        <v>1.4</v>
      </c>
      <c r="AO51" s="243">
        <v>1.4</v>
      </c>
      <c r="AP51" s="243">
        <v>1.4</v>
      </c>
      <c r="AQ51" s="243">
        <v>1.4</v>
      </c>
      <c r="AR51" s="243">
        <v>1.4</v>
      </c>
      <c r="AS51" s="243">
        <v>1.4</v>
      </c>
      <c r="AT51" s="244">
        <v>1.4</v>
      </c>
      <c r="AU51" s="697"/>
      <c r="AV51" s="144">
        <v>6</v>
      </c>
      <c r="AW51" s="193">
        <v>1.1000000000000001</v>
      </c>
      <c r="AX51" s="194">
        <v>1.1000000000000001</v>
      </c>
      <c r="AY51" s="194">
        <v>1.1000000000000001</v>
      </c>
      <c r="AZ51" s="194">
        <v>1.1000000000000001</v>
      </c>
      <c r="BA51" s="194">
        <v>1.1000000000000001</v>
      </c>
      <c r="BB51" s="194">
        <v>1.1000000000000001</v>
      </c>
      <c r="BC51" s="265">
        <v>1.1000000000000001</v>
      </c>
      <c r="BD51" s="697"/>
      <c r="BE51" s="144">
        <v>6</v>
      </c>
      <c r="BF51" s="262">
        <v>1</v>
      </c>
      <c r="BG51" s="201">
        <v>1</v>
      </c>
      <c r="BH51" s="201">
        <v>1</v>
      </c>
      <c r="BI51" s="201">
        <v>1</v>
      </c>
      <c r="BJ51" s="201">
        <v>1</v>
      </c>
      <c r="BK51" s="201">
        <v>1</v>
      </c>
      <c r="BL51" s="195">
        <v>1</v>
      </c>
      <c r="BM51" s="697"/>
      <c r="BN51" s="144">
        <v>6</v>
      </c>
      <c r="BO51" s="196">
        <v>0.9</v>
      </c>
      <c r="BP51" s="245">
        <v>0.9</v>
      </c>
      <c r="BQ51" s="245">
        <v>0.9</v>
      </c>
      <c r="BR51" s="245">
        <v>0.9</v>
      </c>
      <c r="BS51" s="245">
        <v>0.9</v>
      </c>
      <c r="BT51" s="245">
        <v>0.9</v>
      </c>
      <c r="BU51" s="246">
        <v>0.9</v>
      </c>
      <c r="BY51" s="139">
        <v>12</v>
      </c>
      <c r="BZ51" s="139" t="e">
        <f>VLOOKUP($CA$17,E118:F120,2,FALSE)</f>
        <v>#N/A</v>
      </c>
      <c r="CA51" s="139" t="e">
        <f>VLOOKUP($CA$17,N118:O120,2,FALSE)</f>
        <v>#N/A</v>
      </c>
      <c r="CB51" s="139" t="e">
        <f>VLOOKUP($CA$17,W118:X120,2,FALSE)</f>
        <v>#N/A</v>
      </c>
      <c r="CC51" s="139" t="e">
        <f>VLOOKUP($CA$17,AF118:AG120,2,FALSE)</f>
        <v>#N/A</v>
      </c>
    </row>
    <row r="52" spans="1:81">
      <c r="A52" s="697"/>
      <c r="B52" s="144">
        <v>8</v>
      </c>
      <c r="C52" s="199">
        <v>2.8</v>
      </c>
      <c r="D52" s="200">
        <v>2.7</v>
      </c>
      <c r="E52" s="200">
        <v>2.7</v>
      </c>
      <c r="F52" s="200">
        <v>2.7</v>
      </c>
      <c r="G52" s="200">
        <v>2.7</v>
      </c>
      <c r="H52" s="200">
        <v>2.7</v>
      </c>
      <c r="I52" s="238">
        <v>2.6</v>
      </c>
      <c r="J52" s="697"/>
      <c r="K52" s="144">
        <v>8</v>
      </c>
      <c r="L52" s="179">
        <v>2.6</v>
      </c>
      <c r="M52" s="180">
        <v>2.6</v>
      </c>
      <c r="N52" s="180">
        <v>2.6</v>
      </c>
      <c r="O52" s="180">
        <v>2.6</v>
      </c>
      <c r="P52" s="181">
        <v>2.5</v>
      </c>
      <c r="Q52" s="181">
        <v>2.5</v>
      </c>
      <c r="R52" s="182">
        <v>2.5</v>
      </c>
      <c r="S52" s="697"/>
      <c r="T52" s="144">
        <v>8</v>
      </c>
      <c r="U52" s="183">
        <v>2.5</v>
      </c>
      <c r="V52" s="181">
        <v>2.5</v>
      </c>
      <c r="W52" s="181">
        <v>2.5</v>
      </c>
      <c r="X52" s="181">
        <v>2.5</v>
      </c>
      <c r="Y52" s="181">
        <v>2.5</v>
      </c>
      <c r="Z52" s="181">
        <v>2.5</v>
      </c>
      <c r="AA52" s="185">
        <v>2.4</v>
      </c>
      <c r="AB52" s="697"/>
      <c r="AC52" s="144">
        <v>8</v>
      </c>
      <c r="AD52" s="183">
        <v>2.5</v>
      </c>
      <c r="AE52" s="181">
        <v>2.5</v>
      </c>
      <c r="AF52" s="181">
        <v>2.5</v>
      </c>
      <c r="AG52" s="181">
        <v>2.5</v>
      </c>
      <c r="AH52" s="181">
        <v>2.5</v>
      </c>
      <c r="AI52" s="184">
        <v>2.4</v>
      </c>
      <c r="AJ52" s="185">
        <v>2.4</v>
      </c>
      <c r="AK52" s="140"/>
      <c r="AL52" s="697"/>
      <c r="AM52" s="144">
        <v>8</v>
      </c>
      <c r="AN52" s="242">
        <v>1.4</v>
      </c>
      <c r="AO52" s="243">
        <v>1.4</v>
      </c>
      <c r="AP52" s="243">
        <v>1.4</v>
      </c>
      <c r="AQ52" s="243">
        <v>1.4</v>
      </c>
      <c r="AR52" s="243">
        <v>1.4</v>
      </c>
      <c r="AS52" s="243">
        <v>1.4</v>
      </c>
      <c r="AT52" s="244">
        <v>1.4</v>
      </c>
      <c r="AU52" s="697"/>
      <c r="AV52" s="144">
        <v>8</v>
      </c>
      <c r="AW52" s="193">
        <v>1.1000000000000001</v>
      </c>
      <c r="AX52" s="194">
        <v>1.1000000000000001</v>
      </c>
      <c r="AY52" s="194">
        <v>1.1000000000000001</v>
      </c>
      <c r="AZ52" s="194">
        <v>1.1000000000000001</v>
      </c>
      <c r="BA52" s="194">
        <v>1.1000000000000001</v>
      </c>
      <c r="BB52" s="194">
        <v>1.1000000000000001</v>
      </c>
      <c r="BC52" s="265">
        <v>1.1000000000000001</v>
      </c>
      <c r="BD52" s="697"/>
      <c r="BE52" s="144">
        <v>8</v>
      </c>
      <c r="BF52" s="262">
        <v>1</v>
      </c>
      <c r="BG52" s="201">
        <v>1</v>
      </c>
      <c r="BH52" s="201">
        <v>1</v>
      </c>
      <c r="BI52" s="201">
        <v>1</v>
      </c>
      <c r="BJ52" s="201">
        <v>1</v>
      </c>
      <c r="BK52" s="201">
        <v>1</v>
      </c>
      <c r="BL52" s="246">
        <v>0.9</v>
      </c>
      <c r="BM52" s="697"/>
      <c r="BN52" s="144">
        <v>8</v>
      </c>
      <c r="BO52" s="196">
        <v>0.9</v>
      </c>
      <c r="BP52" s="245">
        <v>0.9</v>
      </c>
      <c r="BQ52" s="245">
        <v>0.9</v>
      </c>
      <c r="BR52" s="245">
        <v>0.9</v>
      </c>
      <c r="BS52" s="245">
        <v>0.9</v>
      </c>
      <c r="BT52" s="245">
        <v>0.9</v>
      </c>
      <c r="BU52" s="246">
        <v>0.9</v>
      </c>
      <c r="BY52" s="139">
        <v>14</v>
      </c>
      <c r="BZ52" s="139" t="e">
        <f>VLOOKUP($CA$17,E122:F124,2,FALSE)</f>
        <v>#N/A</v>
      </c>
      <c r="CA52" s="139" t="e">
        <f>VLOOKUP($CA$17,N122:O124,2,FALSE)</f>
        <v>#N/A</v>
      </c>
      <c r="CB52" s="139" t="e">
        <f>VLOOKUP($CA$17,W122:X124,2,FALSE)</f>
        <v>#N/A</v>
      </c>
      <c r="CC52" s="139" t="e">
        <f>VLOOKUP($CA$17,AF122:AG124,2,FALSE)</f>
        <v>#N/A</v>
      </c>
    </row>
    <row r="53" spans="1:81">
      <c r="A53" s="697"/>
      <c r="B53" s="144">
        <v>10</v>
      </c>
      <c r="C53" s="237">
        <v>2.7</v>
      </c>
      <c r="D53" s="200">
        <v>2.7</v>
      </c>
      <c r="E53" s="200">
        <v>2.7</v>
      </c>
      <c r="F53" s="200">
        <v>2.7</v>
      </c>
      <c r="G53" s="200">
        <v>2.7</v>
      </c>
      <c r="H53" s="200">
        <v>2.7</v>
      </c>
      <c r="I53" s="238">
        <v>2.6</v>
      </c>
      <c r="J53" s="697"/>
      <c r="K53" s="144">
        <v>10</v>
      </c>
      <c r="L53" s="179">
        <v>2.6</v>
      </c>
      <c r="M53" s="180">
        <v>2.6</v>
      </c>
      <c r="N53" s="180">
        <v>2.6</v>
      </c>
      <c r="O53" s="181">
        <v>2.5</v>
      </c>
      <c r="P53" s="181">
        <v>2.5</v>
      </c>
      <c r="Q53" s="181">
        <v>2.5</v>
      </c>
      <c r="R53" s="182">
        <v>2.5</v>
      </c>
      <c r="S53" s="697"/>
      <c r="T53" s="144">
        <v>10</v>
      </c>
      <c r="U53" s="183">
        <v>2.5</v>
      </c>
      <c r="V53" s="181">
        <v>2.5</v>
      </c>
      <c r="W53" s="181">
        <v>2.5</v>
      </c>
      <c r="X53" s="181">
        <v>2.5</v>
      </c>
      <c r="Y53" s="181">
        <v>2.5</v>
      </c>
      <c r="Z53" s="181">
        <v>2.5</v>
      </c>
      <c r="AA53" s="185">
        <v>2.4</v>
      </c>
      <c r="AB53" s="697"/>
      <c r="AC53" s="144">
        <v>10</v>
      </c>
      <c r="AD53" s="183">
        <v>2.5</v>
      </c>
      <c r="AE53" s="181">
        <v>2.5</v>
      </c>
      <c r="AF53" s="181">
        <v>2.5</v>
      </c>
      <c r="AG53" s="181">
        <v>2.5</v>
      </c>
      <c r="AH53" s="184">
        <v>2.4</v>
      </c>
      <c r="AI53" s="184">
        <v>2.4</v>
      </c>
      <c r="AJ53" s="185">
        <v>2.4</v>
      </c>
      <c r="AK53" s="140"/>
      <c r="AL53" s="697"/>
      <c r="AM53" s="144">
        <v>10</v>
      </c>
      <c r="AN53" s="242">
        <v>1.4</v>
      </c>
      <c r="AO53" s="243">
        <v>1.4</v>
      </c>
      <c r="AP53" s="243">
        <v>1.4</v>
      </c>
      <c r="AQ53" s="243">
        <v>1.4</v>
      </c>
      <c r="AR53" s="243">
        <v>1.4</v>
      </c>
      <c r="AS53" s="243">
        <v>1.4</v>
      </c>
      <c r="AT53" s="244">
        <v>1.4</v>
      </c>
      <c r="AU53" s="697"/>
      <c r="AV53" s="144">
        <v>10</v>
      </c>
      <c r="AW53" s="193">
        <v>1.1000000000000001</v>
      </c>
      <c r="AX53" s="194">
        <v>1.1000000000000001</v>
      </c>
      <c r="AY53" s="194">
        <v>1.1000000000000001</v>
      </c>
      <c r="AZ53" s="194">
        <v>1.1000000000000001</v>
      </c>
      <c r="BA53" s="194">
        <v>1.1000000000000001</v>
      </c>
      <c r="BB53" s="194">
        <v>1.1000000000000001</v>
      </c>
      <c r="BC53" s="265">
        <v>1.1000000000000001</v>
      </c>
      <c r="BD53" s="697"/>
      <c r="BE53" s="144">
        <v>10</v>
      </c>
      <c r="BF53" s="262">
        <v>1</v>
      </c>
      <c r="BG53" s="201">
        <v>1</v>
      </c>
      <c r="BH53" s="201">
        <v>1</v>
      </c>
      <c r="BI53" s="201">
        <v>1</v>
      </c>
      <c r="BJ53" s="201">
        <v>1</v>
      </c>
      <c r="BK53" s="201">
        <v>1</v>
      </c>
      <c r="BL53" s="246">
        <v>0.9</v>
      </c>
      <c r="BM53" s="697"/>
      <c r="BN53" s="144">
        <v>10</v>
      </c>
      <c r="BO53" s="196">
        <v>0.9</v>
      </c>
      <c r="BP53" s="245">
        <v>0.9</v>
      </c>
      <c r="BQ53" s="245">
        <v>0.9</v>
      </c>
      <c r="BR53" s="245">
        <v>0.9</v>
      </c>
      <c r="BS53" s="245">
        <v>0.9</v>
      </c>
      <c r="BT53" s="245">
        <v>0.9</v>
      </c>
      <c r="BU53" s="246">
        <v>0.9</v>
      </c>
    </row>
    <row r="54" spans="1:81">
      <c r="A54" s="697"/>
      <c r="B54" s="144">
        <v>12</v>
      </c>
      <c r="C54" s="237">
        <v>2.7</v>
      </c>
      <c r="D54" s="200">
        <v>2.7</v>
      </c>
      <c r="E54" s="200">
        <v>2.7</v>
      </c>
      <c r="F54" s="200">
        <v>2.7</v>
      </c>
      <c r="G54" s="200">
        <v>2.7</v>
      </c>
      <c r="H54" s="180">
        <v>2.6</v>
      </c>
      <c r="I54" s="238">
        <v>2.6</v>
      </c>
      <c r="J54" s="697"/>
      <c r="K54" s="144">
        <v>12</v>
      </c>
      <c r="L54" s="179">
        <v>2.6</v>
      </c>
      <c r="M54" s="180">
        <v>2.6</v>
      </c>
      <c r="N54" s="181">
        <v>2.5</v>
      </c>
      <c r="O54" s="181">
        <v>2.5</v>
      </c>
      <c r="P54" s="181">
        <v>2.5</v>
      </c>
      <c r="Q54" s="181">
        <v>2.5</v>
      </c>
      <c r="R54" s="182">
        <v>2.5</v>
      </c>
      <c r="S54" s="697"/>
      <c r="T54" s="144">
        <v>12</v>
      </c>
      <c r="U54" s="183">
        <v>2.5</v>
      </c>
      <c r="V54" s="181">
        <v>2.5</v>
      </c>
      <c r="W54" s="181">
        <v>2.5</v>
      </c>
      <c r="X54" s="181">
        <v>2.5</v>
      </c>
      <c r="Y54" s="181">
        <v>2.5</v>
      </c>
      <c r="Z54" s="184">
        <v>2.4</v>
      </c>
      <c r="AA54" s="185">
        <v>2.4</v>
      </c>
      <c r="AB54" s="697"/>
      <c r="AC54" s="144">
        <v>12</v>
      </c>
      <c r="AD54" s="183">
        <v>2.5</v>
      </c>
      <c r="AE54" s="181">
        <v>2.5</v>
      </c>
      <c r="AF54" s="181">
        <v>2.5</v>
      </c>
      <c r="AG54" s="184">
        <v>2.4</v>
      </c>
      <c r="AH54" s="184">
        <v>2.4</v>
      </c>
      <c r="AI54" s="184">
        <v>2.4</v>
      </c>
      <c r="AJ54" s="185">
        <v>2.4</v>
      </c>
      <c r="AK54" s="140"/>
      <c r="AL54" s="697"/>
      <c r="AM54" s="144">
        <v>12</v>
      </c>
      <c r="AN54" s="205"/>
      <c r="AO54" s="206"/>
      <c r="AP54" s="206"/>
      <c r="AQ54" s="206"/>
      <c r="AR54" s="206"/>
      <c r="AS54" s="206"/>
      <c r="AT54" s="207"/>
      <c r="AU54" s="697"/>
      <c r="AV54" s="144">
        <v>12</v>
      </c>
      <c r="AW54" s="205"/>
      <c r="AX54" s="206"/>
      <c r="AY54" s="206"/>
      <c r="AZ54" s="206"/>
      <c r="BA54" s="206"/>
      <c r="BB54" s="206"/>
      <c r="BC54" s="207"/>
      <c r="BD54" s="697"/>
      <c r="BE54" s="144">
        <v>12</v>
      </c>
      <c r="BF54" s="205"/>
      <c r="BG54" s="206"/>
      <c r="BH54" s="206"/>
      <c r="BI54" s="206"/>
      <c r="BJ54" s="206"/>
      <c r="BK54" s="206"/>
      <c r="BL54" s="207"/>
      <c r="BM54" s="697"/>
      <c r="BN54" s="144">
        <v>12</v>
      </c>
      <c r="BO54" s="205"/>
      <c r="BP54" s="206"/>
      <c r="BQ54" s="206"/>
      <c r="BR54" s="206"/>
      <c r="BS54" s="206"/>
      <c r="BT54" s="206"/>
      <c r="BU54" s="207"/>
      <c r="BY54" s="695" t="s">
        <v>516</v>
      </c>
      <c r="BZ54" s="695"/>
      <c r="CA54" s="695"/>
      <c r="CB54" s="695"/>
      <c r="CC54" s="695"/>
    </row>
    <row r="55" spans="1:81">
      <c r="A55" s="697"/>
      <c r="B55" s="144">
        <v>15</v>
      </c>
      <c r="C55" s="237">
        <v>2.7</v>
      </c>
      <c r="D55" s="200">
        <v>2.7</v>
      </c>
      <c r="E55" s="200">
        <v>2.7</v>
      </c>
      <c r="F55" s="200">
        <v>2.7</v>
      </c>
      <c r="G55" s="180">
        <v>2.6</v>
      </c>
      <c r="H55" s="180">
        <v>2.6</v>
      </c>
      <c r="I55" s="238">
        <v>2.6</v>
      </c>
      <c r="J55" s="697"/>
      <c r="K55" s="144">
        <v>15</v>
      </c>
      <c r="L55" s="179">
        <v>2.6</v>
      </c>
      <c r="M55" s="181">
        <v>2.5</v>
      </c>
      <c r="N55" s="181">
        <v>2.5</v>
      </c>
      <c r="O55" s="181">
        <v>2.5</v>
      </c>
      <c r="P55" s="181">
        <v>2.5</v>
      </c>
      <c r="Q55" s="181">
        <v>2.5</v>
      </c>
      <c r="R55" s="182">
        <v>2.5</v>
      </c>
      <c r="S55" s="697"/>
      <c r="T55" s="144">
        <v>15</v>
      </c>
      <c r="U55" s="183">
        <v>2.5</v>
      </c>
      <c r="V55" s="181">
        <v>2.5</v>
      </c>
      <c r="W55" s="181">
        <v>2.5</v>
      </c>
      <c r="X55" s="181">
        <v>2.5</v>
      </c>
      <c r="Y55" s="184">
        <v>2.4</v>
      </c>
      <c r="Z55" s="184">
        <v>2.4</v>
      </c>
      <c r="AA55" s="185">
        <v>2.4</v>
      </c>
      <c r="AB55" s="697"/>
      <c r="AC55" s="144">
        <v>15</v>
      </c>
      <c r="AD55" s="183">
        <v>2.5</v>
      </c>
      <c r="AE55" s="181">
        <v>2.5</v>
      </c>
      <c r="AF55" s="184">
        <v>2.4</v>
      </c>
      <c r="AG55" s="184">
        <v>2.4</v>
      </c>
      <c r="AH55" s="184">
        <v>2.4</v>
      </c>
      <c r="AI55" s="184">
        <v>2.4</v>
      </c>
      <c r="AJ55" s="185">
        <v>2.4</v>
      </c>
      <c r="AK55" s="140"/>
      <c r="AL55" s="697"/>
      <c r="AM55" s="144">
        <v>15</v>
      </c>
      <c r="AN55" s="205"/>
      <c r="AO55" s="206"/>
      <c r="AP55" s="206"/>
      <c r="AQ55" s="206"/>
      <c r="AR55" s="206"/>
      <c r="AS55" s="206"/>
      <c r="AT55" s="207"/>
      <c r="AU55" s="697"/>
      <c r="AV55" s="144">
        <v>15</v>
      </c>
      <c r="AW55" s="205"/>
      <c r="AX55" s="206"/>
      <c r="AY55" s="206"/>
      <c r="AZ55" s="206"/>
      <c r="BA55" s="206"/>
      <c r="BB55" s="206"/>
      <c r="BC55" s="207"/>
      <c r="BD55" s="697"/>
      <c r="BE55" s="144">
        <v>15</v>
      </c>
      <c r="BF55" s="205"/>
      <c r="BG55" s="206"/>
      <c r="BH55" s="206"/>
      <c r="BI55" s="206"/>
      <c r="BJ55" s="206"/>
      <c r="BK55" s="206"/>
      <c r="BL55" s="207"/>
      <c r="BM55" s="697"/>
      <c r="BN55" s="144">
        <v>15</v>
      </c>
      <c r="BO55" s="205"/>
      <c r="BP55" s="206"/>
      <c r="BQ55" s="206"/>
      <c r="BR55" s="206"/>
      <c r="BS55" s="206"/>
      <c r="BT55" s="206"/>
      <c r="BU55" s="207"/>
      <c r="BY55" s="139" t="s">
        <v>515</v>
      </c>
      <c r="BZ55" s="76" t="s">
        <v>500</v>
      </c>
      <c r="CA55" s="76" t="s">
        <v>501</v>
      </c>
      <c r="CB55" s="76" t="s">
        <v>502</v>
      </c>
      <c r="CC55" s="76" t="s">
        <v>503</v>
      </c>
    </row>
    <row r="56" spans="1:81" ht="13.5" thickBot="1">
      <c r="A56" s="697"/>
      <c r="B56" s="209">
        <v>19</v>
      </c>
      <c r="C56" s="213">
        <v>2.7</v>
      </c>
      <c r="D56" s="214">
        <v>2.7</v>
      </c>
      <c r="E56" s="250">
        <v>2.6</v>
      </c>
      <c r="F56" s="250">
        <v>2.6</v>
      </c>
      <c r="G56" s="250">
        <v>2.6</v>
      </c>
      <c r="H56" s="250">
        <v>2.6</v>
      </c>
      <c r="I56" s="215">
        <v>2.6</v>
      </c>
      <c r="J56" s="697"/>
      <c r="K56" s="209">
        <v>19</v>
      </c>
      <c r="L56" s="216">
        <v>2.5</v>
      </c>
      <c r="M56" s="217">
        <v>2.5</v>
      </c>
      <c r="N56" s="217">
        <v>2.5</v>
      </c>
      <c r="O56" s="217">
        <v>2.5</v>
      </c>
      <c r="P56" s="217">
        <v>2.5</v>
      </c>
      <c r="Q56" s="217">
        <v>2.5</v>
      </c>
      <c r="R56" s="219">
        <v>2.4</v>
      </c>
      <c r="S56" s="697"/>
      <c r="T56" s="209">
        <v>19</v>
      </c>
      <c r="U56" s="216">
        <v>2.5</v>
      </c>
      <c r="V56" s="217">
        <v>2.5</v>
      </c>
      <c r="W56" s="218">
        <v>2.4</v>
      </c>
      <c r="X56" s="218">
        <v>2.4</v>
      </c>
      <c r="Y56" s="218">
        <v>2.4</v>
      </c>
      <c r="Z56" s="218">
        <v>2.4</v>
      </c>
      <c r="AA56" s="219">
        <v>2.4</v>
      </c>
      <c r="AB56" s="697"/>
      <c r="AC56" s="209">
        <v>19</v>
      </c>
      <c r="AD56" s="220">
        <v>2.4</v>
      </c>
      <c r="AE56" s="218">
        <v>2.4</v>
      </c>
      <c r="AF56" s="218">
        <v>2.4</v>
      </c>
      <c r="AG56" s="218">
        <v>2.4</v>
      </c>
      <c r="AH56" s="218">
        <v>2.4</v>
      </c>
      <c r="AI56" s="218">
        <v>2.4</v>
      </c>
      <c r="AJ56" s="219">
        <v>2.4</v>
      </c>
      <c r="AK56" s="140"/>
      <c r="AL56" s="697"/>
      <c r="AM56" s="209">
        <v>19</v>
      </c>
      <c r="AN56" s="222"/>
      <c r="AO56" s="223"/>
      <c r="AP56" s="223"/>
      <c r="AQ56" s="223"/>
      <c r="AR56" s="223"/>
      <c r="AS56" s="223"/>
      <c r="AT56" s="224"/>
      <c r="AU56" s="697"/>
      <c r="AV56" s="209">
        <v>19</v>
      </c>
      <c r="AW56" s="222"/>
      <c r="AX56" s="223"/>
      <c r="AY56" s="223"/>
      <c r="AZ56" s="223"/>
      <c r="BA56" s="223"/>
      <c r="BB56" s="223"/>
      <c r="BC56" s="224"/>
      <c r="BD56" s="697"/>
      <c r="BE56" s="209">
        <v>19</v>
      </c>
      <c r="BF56" s="222"/>
      <c r="BG56" s="223"/>
      <c r="BH56" s="223"/>
      <c r="BI56" s="223"/>
      <c r="BJ56" s="223"/>
      <c r="BK56" s="223"/>
      <c r="BL56" s="224"/>
      <c r="BM56" s="697"/>
      <c r="BN56" s="209">
        <v>19</v>
      </c>
      <c r="BO56" s="222"/>
      <c r="BP56" s="223"/>
      <c r="BQ56" s="223"/>
      <c r="BR56" s="223"/>
      <c r="BS56" s="223"/>
      <c r="BT56" s="223"/>
      <c r="BU56" s="224"/>
      <c r="BY56" s="139">
        <v>6</v>
      </c>
      <c r="BZ56" s="139" t="e">
        <f>VLOOKUP($CA$17,E129:F131,2,FALSE)</f>
        <v>#N/A</v>
      </c>
      <c r="CA56" s="139" t="e">
        <f>VLOOKUP($CA$17,N129:O131,2,FALSE)</f>
        <v>#N/A</v>
      </c>
      <c r="CB56" s="139" t="e">
        <f>VLOOKUP($CA$17,W129:X131,2,FALSE)</f>
        <v>#N/A</v>
      </c>
      <c r="CC56" s="139" t="e">
        <f>VLOOKUP($CA$17,AF129:AG131,2,FALSE)</f>
        <v>#N/A</v>
      </c>
    </row>
    <row r="57" spans="1:81" ht="13.5" thickBot="1">
      <c r="C57" s="696" t="s">
        <v>6</v>
      </c>
      <c r="D57" s="696"/>
      <c r="E57" s="696"/>
      <c r="F57" s="696"/>
      <c r="G57" s="696"/>
      <c r="H57" s="696"/>
      <c r="I57" s="696"/>
      <c r="L57" s="696" t="s">
        <v>6</v>
      </c>
      <c r="M57" s="696"/>
      <c r="N57" s="696"/>
      <c r="O57" s="696"/>
      <c r="P57" s="696"/>
      <c r="Q57" s="696"/>
      <c r="R57" s="696"/>
      <c r="U57" s="696" t="s">
        <v>6</v>
      </c>
      <c r="V57" s="696"/>
      <c r="W57" s="696"/>
      <c r="X57" s="696"/>
      <c r="Y57" s="696"/>
      <c r="Z57" s="696"/>
      <c r="AA57" s="696"/>
      <c r="AD57" s="696" t="s">
        <v>6</v>
      </c>
      <c r="AE57" s="696"/>
      <c r="AF57" s="696"/>
      <c r="AG57" s="696"/>
      <c r="AH57" s="696"/>
      <c r="AI57" s="696"/>
      <c r="AJ57" s="696"/>
      <c r="AK57" s="140"/>
      <c r="AN57" s="696" t="s">
        <v>6</v>
      </c>
      <c r="AO57" s="696"/>
      <c r="AP57" s="696"/>
      <c r="AQ57" s="696"/>
      <c r="AR57" s="696"/>
      <c r="AS57" s="696"/>
      <c r="AT57" s="696"/>
      <c r="AW57" s="696" t="s">
        <v>6</v>
      </c>
      <c r="AX57" s="696"/>
      <c r="AY57" s="696"/>
      <c r="AZ57" s="696"/>
      <c r="BA57" s="696"/>
      <c r="BB57" s="696"/>
      <c r="BC57" s="696"/>
      <c r="BF57" s="696" t="s">
        <v>6</v>
      </c>
      <c r="BG57" s="696"/>
      <c r="BH57" s="696"/>
      <c r="BI57" s="696"/>
      <c r="BJ57" s="696"/>
      <c r="BK57" s="696"/>
      <c r="BL57" s="696"/>
      <c r="BO57" s="696" t="s">
        <v>6</v>
      </c>
      <c r="BP57" s="696"/>
      <c r="BQ57" s="696"/>
      <c r="BR57" s="696"/>
      <c r="BS57" s="696"/>
      <c r="BT57" s="696"/>
      <c r="BU57" s="696"/>
      <c r="BY57" s="139">
        <v>8</v>
      </c>
      <c r="BZ57" s="139" t="e">
        <f>VLOOKUP($CA$17,E133:F135,2,FALSE)</f>
        <v>#N/A</v>
      </c>
      <c r="CA57" s="139" t="e">
        <f>VLOOKUP($CA$17,N133:O135,2,FALSE)</f>
        <v>#N/A</v>
      </c>
      <c r="CB57" s="139" t="e">
        <f>VLOOKUP($CA$17,W133:X135,2,FALSE)</f>
        <v>#N/A</v>
      </c>
      <c r="CC57" s="139" t="e">
        <f>VLOOKUP($CA$17,AF133:AG135,2,FALSE)</f>
        <v>#N/A</v>
      </c>
    </row>
    <row r="58" spans="1:81" ht="13.5" thickBot="1">
      <c r="B58" s="141">
        <v>16</v>
      </c>
      <c r="C58" s="142">
        <v>4</v>
      </c>
      <c r="D58" s="142">
        <v>6</v>
      </c>
      <c r="E58" s="142">
        <v>8</v>
      </c>
      <c r="F58" s="142">
        <v>10</v>
      </c>
      <c r="G58" s="142">
        <v>12</v>
      </c>
      <c r="H58" s="142">
        <v>15</v>
      </c>
      <c r="I58" s="143">
        <v>19</v>
      </c>
      <c r="K58" s="141">
        <v>16</v>
      </c>
      <c r="L58" s="142">
        <v>4</v>
      </c>
      <c r="M58" s="142">
        <v>6</v>
      </c>
      <c r="N58" s="142">
        <v>8</v>
      </c>
      <c r="O58" s="142">
        <v>10</v>
      </c>
      <c r="P58" s="142">
        <v>12</v>
      </c>
      <c r="Q58" s="142">
        <v>15</v>
      </c>
      <c r="R58" s="143">
        <v>19</v>
      </c>
      <c r="T58" s="141">
        <v>16</v>
      </c>
      <c r="U58" s="142">
        <v>4</v>
      </c>
      <c r="V58" s="142">
        <v>6</v>
      </c>
      <c r="W58" s="142">
        <v>8</v>
      </c>
      <c r="X58" s="142">
        <v>10</v>
      </c>
      <c r="Y58" s="142">
        <v>12</v>
      </c>
      <c r="Z58" s="142">
        <v>15</v>
      </c>
      <c r="AA58" s="143">
        <v>19</v>
      </c>
      <c r="AC58" s="141">
        <v>16</v>
      </c>
      <c r="AD58" s="142">
        <v>4</v>
      </c>
      <c r="AE58" s="142">
        <v>6</v>
      </c>
      <c r="AF58" s="142">
        <v>8</v>
      </c>
      <c r="AG58" s="142">
        <v>10</v>
      </c>
      <c r="AH58" s="142">
        <v>12</v>
      </c>
      <c r="AI58" s="142">
        <v>15</v>
      </c>
      <c r="AJ58" s="143">
        <v>19</v>
      </c>
      <c r="AK58" s="140"/>
      <c r="AM58" s="141">
        <v>16</v>
      </c>
      <c r="AN58" s="142">
        <v>4</v>
      </c>
      <c r="AO58" s="142">
        <v>6</v>
      </c>
      <c r="AP58" s="142">
        <v>8</v>
      </c>
      <c r="AQ58" s="142">
        <v>10</v>
      </c>
      <c r="AR58" s="142">
        <v>12</v>
      </c>
      <c r="AS58" s="142">
        <v>15</v>
      </c>
      <c r="AT58" s="143">
        <v>19</v>
      </c>
      <c r="AV58" s="141">
        <v>16</v>
      </c>
      <c r="AW58" s="142">
        <v>4</v>
      </c>
      <c r="AX58" s="142">
        <v>6</v>
      </c>
      <c r="AY58" s="142">
        <v>8</v>
      </c>
      <c r="AZ58" s="142">
        <v>10</v>
      </c>
      <c r="BA58" s="142">
        <v>12</v>
      </c>
      <c r="BB58" s="142">
        <v>15</v>
      </c>
      <c r="BC58" s="143">
        <v>19</v>
      </c>
      <c r="BE58" s="141">
        <v>16</v>
      </c>
      <c r="BF58" s="142">
        <v>4</v>
      </c>
      <c r="BG58" s="142">
        <v>6</v>
      </c>
      <c r="BH58" s="142">
        <v>8</v>
      </c>
      <c r="BI58" s="142">
        <v>10</v>
      </c>
      <c r="BJ58" s="142">
        <v>12</v>
      </c>
      <c r="BK58" s="142">
        <v>15</v>
      </c>
      <c r="BL58" s="143">
        <v>19</v>
      </c>
      <c r="BN58" s="141">
        <v>16</v>
      </c>
      <c r="BO58" s="142">
        <v>4</v>
      </c>
      <c r="BP58" s="142">
        <v>6</v>
      </c>
      <c r="BQ58" s="142">
        <v>8</v>
      </c>
      <c r="BR58" s="142">
        <v>10</v>
      </c>
      <c r="BS58" s="142">
        <v>12</v>
      </c>
      <c r="BT58" s="142">
        <v>15</v>
      </c>
      <c r="BU58" s="143">
        <v>19</v>
      </c>
      <c r="BY58" s="139">
        <v>10</v>
      </c>
      <c r="BZ58" s="139" t="e">
        <f>VLOOKUP($CA$17,E137:F139,2,FALSE)</f>
        <v>#N/A</v>
      </c>
      <c r="CA58" s="139" t="e">
        <f>VLOOKUP($CA$17,N137:O139,2,FALSE)</f>
        <v>#N/A</v>
      </c>
      <c r="CB58" s="139" t="e">
        <f>VLOOKUP($CA$17,W137:X139,2,FALSE)</f>
        <v>#N/A</v>
      </c>
      <c r="CC58" s="139" t="e">
        <f>VLOOKUP($CA$17,AF137:AG139,2,FALSE)</f>
        <v>#N/A</v>
      </c>
    </row>
    <row r="59" spans="1:81" ht="15" customHeight="1">
      <c r="A59" s="697" t="s">
        <v>5</v>
      </c>
      <c r="B59" s="144">
        <v>4</v>
      </c>
      <c r="C59" s="252">
        <v>2.7</v>
      </c>
      <c r="D59" s="228">
        <v>2.7</v>
      </c>
      <c r="E59" s="228">
        <v>2.7</v>
      </c>
      <c r="F59" s="228">
        <v>2.7</v>
      </c>
      <c r="G59" s="228">
        <v>2.7</v>
      </c>
      <c r="H59" s="228">
        <v>2.7</v>
      </c>
      <c r="I59" s="266">
        <v>2.6</v>
      </c>
      <c r="J59" s="697" t="s">
        <v>5</v>
      </c>
      <c r="K59" s="144">
        <v>4</v>
      </c>
      <c r="L59" s="151">
        <v>2.6</v>
      </c>
      <c r="M59" s="152">
        <v>2.6</v>
      </c>
      <c r="N59" s="152">
        <v>2.6</v>
      </c>
      <c r="O59" s="152">
        <v>2.6</v>
      </c>
      <c r="P59" s="152">
        <v>2.6</v>
      </c>
      <c r="Q59" s="153">
        <v>2.5</v>
      </c>
      <c r="R59" s="154">
        <v>2.5</v>
      </c>
      <c r="S59" s="697" t="s">
        <v>5</v>
      </c>
      <c r="T59" s="144">
        <v>4</v>
      </c>
      <c r="U59" s="151">
        <v>2.6</v>
      </c>
      <c r="V59" s="152">
        <v>2.6</v>
      </c>
      <c r="W59" s="153">
        <v>2.5</v>
      </c>
      <c r="X59" s="153">
        <v>2.5</v>
      </c>
      <c r="Y59" s="153">
        <v>2.5</v>
      </c>
      <c r="Z59" s="153">
        <v>2.5</v>
      </c>
      <c r="AA59" s="154">
        <v>2.5</v>
      </c>
      <c r="AB59" s="697" t="s">
        <v>5</v>
      </c>
      <c r="AC59" s="144">
        <v>4</v>
      </c>
      <c r="AD59" s="155">
        <v>2.5</v>
      </c>
      <c r="AE59" s="153">
        <v>2.5</v>
      </c>
      <c r="AF59" s="153">
        <v>2.5</v>
      </c>
      <c r="AG59" s="153">
        <v>2.5</v>
      </c>
      <c r="AH59" s="153">
        <v>2.5</v>
      </c>
      <c r="AI59" s="153">
        <v>2.5</v>
      </c>
      <c r="AJ59" s="157">
        <v>2.4</v>
      </c>
      <c r="AK59" s="140"/>
      <c r="AL59" s="697" t="s">
        <v>5</v>
      </c>
      <c r="AM59" s="144">
        <v>4</v>
      </c>
      <c r="AN59" s="232">
        <v>1.4</v>
      </c>
      <c r="AO59" s="233">
        <v>1.4</v>
      </c>
      <c r="AP59" s="233">
        <v>1.4</v>
      </c>
      <c r="AQ59" s="233">
        <v>1.4</v>
      </c>
      <c r="AR59" s="233">
        <v>1.4</v>
      </c>
      <c r="AS59" s="267">
        <v>1.3</v>
      </c>
      <c r="AT59" s="268">
        <v>1.3</v>
      </c>
      <c r="AU59" s="697" t="s">
        <v>5</v>
      </c>
      <c r="AV59" s="144">
        <v>4</v>
      </c>
      <c r="AW59" s="165">
        <v>1.1000000000000001</v>
      </c>
      <c r="AX59" s="166">
        <v>1.1000000000000001</v>
      </c>
      <c r="AY59" s="166">
        <v>1.1000000000000001</v>
      </c>
      <c r="AZ59" s="166">
        <v>1.1000000000000001</v>
      </c>
      <c r="BA59" s="166">
        <v>1.1000000000000001</v>
      </c>
      <c r="BB59" s="166">
        <v>1.1000000000000001</v>
      </c>
      <c r="BC59" s="264">
        <v>1.1000000000000001</v>
      </c>
      <c r="BD59" s="697" t="s">
        <v>5</v>
      </c>
      <c r="BE59" s="144">
        <v>4</v>
      </c>
      <c r="BF59" s="257">
        <v>1</v>
      </c>
      <c r="BG59" s="258">
        <v>1</v>
      </c>
      <c r="BH59" s="258">
        <v>1</v>
      </c>
      <c r="BI59" s="258">
        <v>1</v>
      </c>
      <c r="BJ59" s="258">
        <v>1</v>
      </c>
      <c r="BK59" s="258">
        <v>1</v>
      </c>
      <c r="BL59" s="167">
        <v>1</v>
      </c>
      <c r="BM59" s="697" t="s">
        <v>5</v>
      </c>
      <c r="BN59" s="144">
        <v>4</v>
      </c>
      <c r="BO59" s="168">
        <v>0.9</v>
      </c>
      <c r="BP59" s="169">
        <v>0.9</v>
      </c>
      <c r="BQ59" s="169">
        <v>0.9</v>
      </c>
      <c r="BR59" s="169">
        <v>0.9</v>
      </c>
      <c r="BS59" s="169">
        <v>0.9</v>
      </c>
      <c r="BT59" s="169">
        <v>0.9</v>
      </c>
      <c r="BU59" s="235">
        <v>0.9</v>
      </c>
      <c r="BY59" s="139">
        <v>12</v>
      </c>
      <c r="BZ59" s="139" t="e">
        <f>VLOOKUP($CA$17,E141:F143,2,FALSE)</f>
        <v>#N/A</v>
      </c>
      <c r="CA59" s="139" t="e">
        <f>VLOOKUP($CA$17,N141:O143,2,FALSE)</f>
        <v>#N/A</v>
      </c>
      <c r="CB59" s="139" t="e">
        <f>VLOOKUP($CA$17,W141:X143,2,FALSE)</f>
        <v>#N/A</v>
      </c>
      <c r="CC59" s="139" t="e">
        <f>VLOOKUP($CA$17,AF141:AG143,2,FALSE)</f>
        <v>#N/A</v>
      </c>
    </row>
    <row r="60" spans="1:81">
      <c r="A60" s="697"/>
      <c r="B60" s="144">
        <v>6</v>
      </c>
      <c r="C60" s="237">
        <v>2.7</v>
      </c>
      <c r="D60" s="200">
        <v>2.7</v>
      </c>
      <c r="E60" s="200">
        <v>2.7</v>
      </c>
      <c r="F60" s="200">
        <v>2.7</v>
      </c>
      <c r="G60" s="200">
        <v>2.7</v>
      </c>
      <c r="H60" s="269">
        <v>2.6</v>
      </c>
      <c r="I60" s="270">
        <v>2.6</v>
      </c>
      <c r="J60" s="697"/>
      <c r="K60" s="144">
        <v>6</v>
      </c>
      <c r="L60" s="179">
        <v>2.6</v>
      </c>
      <c r="M60" s="180">
        <v>2.6</v>
      </c>
      <c r="N60" s="180">
        <v>2.6</v>
      </c>
      <c r="O60" s="180">
        <v>2.6</v>
      </c>
      <c r="P60" s="181">
        <v>2.5</v>
      </c>
      <c r="Q60" s="181">
        <v>2.5</v>
      </c>
      <c r="R60" s="182">
        <v>2.5</v>
      </c>
      <c r="S60" s="697"/>
      <c r="T60" s="144">
        <v>6</v>
      </c>
      <c r="U60" s="179">
        <v>2.6</v>
      </c>
      <c r="V60" s="181">
        <v>2.5</v>
      </c>
      <c r="W60" s="181">
        <v>2.5</v>
      </c>
      <c r="X60" s="181">
        <v>2.5</v>
      </c>
      <c r="Y60" s="181">
        <v>2.5</v>
      </c>
      <c r="Z60" s="181">
        <v>2.5</v>
      </c>
      <c r="AA60" s="182">
        <v>2.5</v>
      </c>
      <c r="AB60" s="697"/>
      <c r="AC60" s="144">
        <v>6</v>
      </c>
      <c r="AD60" s="183">
        <v>2.5</v>
      </c>
      <c r="AE60" s="181">
        <v>2.5</v>
      </c>
      <c r="AF60" s="181">
        <v>2.5</v>
      </c>
      <c r="AG60" s="181">
        <v>2.5</v>
      </c>
      <c r="AH60" s="181">
        <v>2.5</v>
      </c>
      <c r="AI60" s="181">
        <v>2.5</v>
      </c>
      <c r="AJ60" s="185">
        <v>2.4</v>
      </c>
      <c r="AK60" s="140"/>
      <c r="AL60" s="697"/>
      <c r="AM60" s="144">
        <v>6</v>
      </c>
      <c r="AN60" s="242">
        <v>1.4</v>
      </c>
      <c r="AO60" s="243">
        <v>1.4</v>
      </c>
      <c r="AP60" s="243">
        <v>1.4</v>
      </c>
      <c r="AQ60" s="243">
        <v>1.4</v>
      </c>
      <c r="AR60" s="271">
        <v>1.3</v>
      </c>
      <c r="AS60" s="271">
        <v>1.3</v>
      </c>
      <c r="AT60" s="272">
        <v>1.3</v>
      </c>
      <c r="AU60" s="697"/>
      <c r="AV60" s="144">
        <v>6</v>
      </c>
      <c r="AW60" s="193">
        <v>1.1000000000000001</v>
      </c>
      <c r="AX60" s="194">
        <v>1.1000000000000001</v>
      </c>
      <c r="AY60" s="194">
        <v>1.1000000000000001</v>
      </c>
      <c r="AZ60" s="194">
        <v>1.1000000000000001</v>
      </c>
      <c r="BA60" s="194">
        <v>1.1000000000000001</v>
      </c>
      <c r="BB60" s="194">
        <v>1.1000000000000001</v>
      </c>
      <c r="BC60" s="265">
        <v>1.1000000000000001</v>
      </c>
      <c r="BD60" s="697"/>
      <c r="BE60" s="144">
        <v>6</v>
      </c>
      <c r="BF60" s="262">
        <v>1</v>
      </c>
      <c r="BG60" s="201">
        <v>1</v>
      </c>
      <c r="BH60" s="201">
        <v>1</v>
      </c>
      <c r="BI60" s="201">
        <v>1</v>
      </c>
      <c r="BJ60" s="201">
        <v>1</v>
      </c>
      <c r="BK60" s="201">
        <v>1</v>
      </c>
      <c r="BL60" s="195">
        <v>1</v>
      </c>
      <c r="BM60" s="697"/>
      <c r="BN60" s="144">
        <v>6</v>
      </c>
      <c r="BO60" s="196">
        <v>0.9</v>
      </c>
      <c r="BP60" s="245">
        <v>0.9</v>
      </c>
      <c r="BQ60" s="245">
        <v>0.9</v>
      </c>
      <c r="BR60" s="245">
        <v>0.9</v>
      </c>
      <c r="BS60" s="245">
        <v>0.9</v>
      </c>
      <c r="BT60" s="245">
        <v>0.9</v>
      </c>
      <c r="BU60" s="246">
        <v>0.9</v>
      </c>
      <c r="BY60" s="139">
        <v>14</v>
      </c>
      <c r="BZ60" s="139" t="e">
        <f>VLOOKUP($CA$17,E145:F147,2,FALSE)</f>
        <v>#N/A</v>
      </c>
      <c r="CA60" s="139" t="e">
        <f>VLOOKUP($CA$17,N145:O147,2,FALSE)</f>
        <v>#N/A</v>
      </c>
      <c r="CB60" s="139" t="e">
        <f>VLOOKUP($CA$17,W145:X147,2,FALSE)</f>
        <v>#N/A</v>
      </c>
      <c r="CC60" s="139" t="e">
        <f>VLOOKUP($CA$17,AF145:AG147,2,FALSE)</f>
        <v>#N/A</v>
      </c>
    </row>
    <row r="61" spans="1:81">
      <c r="A61" s="697"/>
      <c r="B61" s="144">
        <v>8</v>
      </c>
      <c r="C61" s="237">
        <v>2.7</v>
      </c>
      <c r="D61" s="200">
        <v>2.7</v>
      </c>
      <c r="E61" s="200">
        <v>2.7</v>
      </c>
      <c r="F61" s="200">
        <v>2.7</v>
      </c>
      <c r="G61" s="200">
        <v>2.7</v>
      </c>
      <c r="H61" s="269">
        <v>2.6</v>
      </c>
      <c r="I61" s="270">
        <v>2.6</v>
      </c>
      <c r="J61" s="697"/>
      <c r="K61" s="144">
        <v>8</v>
      </c>
      <c r="L61" s="179">
        <v>2.6</v>
      </c>
      <c r="M61" s="180">
        <v>2.6</v>
      </c>
      <c r="N61" s="180">
        <v>2.6</v>
      </c>
      <c r="O61" s="181">
        <v>2.5</v>
      </c>
      <c r="P61" s="181">
        <v>2.5</v>
      </c>
      <c r="Q61" s="181">
        <v>2.5</v>
      </c>
      <c r="R61" s="182">
        <v>2.5</v>
      </c>
      <c r="S61" s="697"/>
      <c r="T61" s="144">
        <v>8</v>
      </c>
      <c r="U61" s="183">
        <v>2.5</v>
      </c>
      <c r="V61" s="181">
        <v>2.5</v>
      </c>
      <c r="W61" s="181">
        <v>2.5</v>
      </c>
      <c r="X61" s="181">
        <v>2.5</v>
      </c>
      <c r="Y61" s="181">
        <v>2.5</v>
      </c>
      <c r="Z61" s="181">
        <v>2.5</v>
      </c>
      <c r="AA61" s="185">
        <v>2.4</v>
      </c>
      <c r="AB61" s="697"/>
      <c r="AC61" s="144">
        <v>8</v>
      </c>
      <c r="AD61" s="183">
        <v>2.5</v>
      </c>
      <c r="AE61" s="181">
        <v>2.5</v>
      </c>
      <c r="AF61" s="181">
        <v>2.5</v>
      </c>
      <c r="AG61" s="181">
        <v>2.5</v>
      </c>
      <c r="AH61" s="181">
        <v>2.5</v>
      </c>
      <c r="AI61" s="184">
        <v>2.4</v>
      </c>
      <c r="AJ61" s="185">
        <v>2.4</v>
      </c>
      <c r="AK61" s="140"/>
      <c r="AL61" s="697"/>
      <c r="AM61" s="144">
        <v>8</v>
      </c>
      <c r="AN61" s="242">
        <v>1.4</v>
      </c>
      <c r="AO61" s="243">
        <v>1.4</v>
      </c>
      <c r="AP61" s="243">
        <v>1.4</v>
      </c>
      <c r="AQ61" s="271">
        <v>1.3</v>
      </c>
      <c r="AR61" s="271">
        <v>1.3</v>
      </c>
      <c r="AS61" s="271">
        <v>1.3</v>
      </c>
      <c r="AT61" s="272">
        <v>1.3</v>
      </c>
      <c r="AU61" s="697"/>
      <c r="AV61" s="144">
        <v>8</v>
      </c>
      <c r="AW61" s="193">
        <v>1.1000000000000001</v>
      </c>
      <c r="AX61" s="194">
        <v>1.1000000000000001</v>
      </c>
      <c r="AY61" s="194">
        <v>1.1000000000000001</v>
      </c>
      <c r="AZ61" s="194">
        <v>1.1000000000000001</v>
      </c>
      <c r="BA61" s="194">
        <v>1.1000000000000001</v>
      </c>
      <c r="BB61" s="194">
        <v>1.1000000000000001</v>
      </c>
      <c r="BC61" s="265">
        <v>1.1000000000000001</v>
      </c>
      <c r="BD61" s="697"/>
      <c r="BE61" s="144">
        <v>8</v>
      </c>
      <c r="BF61" s="262">
        <v>1</v>
      </c>
      <c r="BG61" s="201">
        <v>1</v>
      </c>
      <c r="BH61" s="201">
        <v>1</v>
      </c>
      <c r="BI61" s="201">
        <v>1</v>
      </c>
      <c r="BJ61" s="201">
        <v>1</v>
      </c>
      <c r="BK61" s="201">
        <v>1</v>
      </c>
      <c r="BL61" s="195">
        <v>1</v>
      </c>
      <c r="BM61" s="697"/>
      <c r="BN61" s="144">
        <v>8</v>
      </c>
      <c r="BO61" s="196">
        <v>0.9</v>
      </c>
      <c r="BP61" s="245">
        <v>0.9</v>
      </c>
      <c r="BQ61" s="245">
        <v>0.9</v>
      </c>
      <c r="BR61" s="245">
        <v>0.9</v>
      </c>
      <c r="BS61" s="245">
        <v>0.9</v>
      </c>
      <c r="BT61" s="245">
        <v>0.9</v>
      </c>
      <c r="BU61" s="246">
        <v>0.9</v>
      </c>
    </row>
    <row r="62" spans="1:81">
      <c r="A62" s="697"/>
      <c r="B62" s="144">
        <v>10</v>
      </c>
      <c r="C62" s="237">
        <v>2.7</v>
      </c>
      <c r="D62" s="200">
        <v>2.7</v>
      </c>
      <c r="E62" s="200">
        <v>2.7</v>
      </c>
      <c r="F62" s="200">
        <v>2.7</v>
      </c>
      <c r="G62" s="269">
        <v>2.6</v>
      </c>
      <c r="H62" s="269">
        <v>2.6</v>
      </c>
      <c r="I62" s="270">
        <v>2.6</v>
      </c>
      <c r="J62" s="697"/>
      <c r="K62" s="144">
        <v>10</v>
      </c>
      <c r="L62" s="179">
        <v>2.6</v>
      </c>
      <c r="M62" s="180">
        <v>2.6</v>
      </c>
      <c r="N62" s="181">
        <v>2.5</v>
      </c>
      <c r="O62" s="181">
        <v>2.5</v>
      </c>
      <c r="P62" s="181">
        <v>2.5</v>
      </c>
      <c r="Q62" s="181">
        <v>2.5</v>
      </c>
      <c r="R62" s="182">
        <v>2.5</v>
      </c>
      <c r="S62" s="697"/>
      <c r="T62" s="144">
        <v>10</v>
      </c>
      <c r="U62" s="183">
        <v>2.5</v>
      </c>
      <c r="V62" s="181">
        <v>2.5</v>
      </c>
      <c r="W62" s="181">
        <v>2.5</v>
      </c>
      <c r="X62" s="181">
        <v>2.5</v>
      </c>
      <c r="Y62" s="181">
        <v>2.5</v>
      </c>
      <c r="Z62" s="181">
        <v>2.5</v>
      </c>
      <c r="AA62" s="185">
        <v>2.4</v>
      </c>
      <c r="AB62" s="697"/>
      <c r="AC62" s="144">
        <v>10</v>
      </c>
      <c r="AD62" s="183">
        <v>2.5</v>
      </c>
      <c r="AE62" s="181">
        <v>2.5</v>
      </c>
      <c r="AF62" s="181">
        <v>2.5</v>
      </c>
      <c r="AG62" s="181">
        <v>2.5</v>
      </c>
      <c r="AH62" s="181">
        <v>2.5</v>
      </c>
      <c r="AI62" s="184">
        <v>2.4</v>
      </c>
      <c r="AJ62" s="185">
        <v>2.4</v>
      </c>
      <c r="AK62" s="140"/>
      <c r="AL62" s="697"/>
      <c r="AM62" s="144">
        <v>10</v>
      </c>
      <c r="AN62" s="242">
        <v>1.4</v>
      </c>
      <c r="AO62" s="243">
        <v>1.4</v>
      </c>
      <c r="AP62" s="271">
        <v>1.3</v>
      </c>
      <c r="AQ62" s="271">
        <v>1.3</v>
      </c>
      <c r="AR62" s="271">
        <v>1.3</v>
      </c>
      <c r="AS62" s="271">
        <v>1.3</v>
      </c>
      <c r="AT62" s="272">
        <v>1.3</v>
      </c>
      <c r="AU62" s="697"/>
      <c r="AV62" s="144">
        <v>10</v>
      </c>
      <c r="AW62" s="193">
        <v>1.1000000000000001</v>
      </c>
      <c r="AX62" s="194">
        <v>1.1000000000000001</v>
      </c>
      <c r="AY62" s="194">
        <v>1.1000000000000001</v>
      </c>
      <c r="AZ62" s="194">
        <v>1.1000000000000001</v>
      </c>
      <c r="BA62" s="194">
        <v>1.1000000000000001</v>
      </c>
      <c r="BB62" s="194">
        <v>1.1000000000000001</v>
      </c>
      <c r="BC62" s="265">
        <v>1.1000000000000001</v>
      </c>
      <c r="BD62" s="697"/>
      <c r="BE62" s="144">
        <v>10</v>
      </c>
      <c r="BF62" s="262">
        <v>1</v>
      </c>
      <c r="BG62" s="201">
        <v>1</v>
      </c>
      <c r="BH62" s="201">
        <v>1</v>
      </c>
      <c r="BI62" s="201">
        <v>1</v>
      </c>
      <c r="BJ62" s="201">
        <v>1</v>
      </c>
      <c r="BK62" s="201">
        <v>1</v>
      </c>
      <c r="BL62" s="195">
        <v>1</v>
      </c>
      <c r="BM62" s="697"/>
      <c r="BN62" s="144">
        <v>10</v>
      </c>
      <c r="BO62" s="196">
        <v>0.9</v>
      </c>
      <c r="BP62" s="245">
        <v>0.9</v>
      </c>
      <c r="BQ62" s="245">
        <v>0.9</v>
      </c>
      <c r="BR62" s="245">
        <v>0.9</v>
      </c>
      <c r="BS62" s="245">
        <v>0.9</v>
      </c>
      <c r="BT62" s="245">
        <v>0.9</v>
      </c>
      <c r="BU62" s="246">
        <v>0.9</v>
      </c>
      <c r="BY62" s="695" t="s">
        <v>517</v>
      </c>
      <c r="BZ62" s="695"/>
      <c r="CA62" s="695"/>
      <c r="CB62" s="695"/>
      <c r="CC62" s="695"/>
    </row>
    <row r="63" spans="1:81">
      <c r="A63" s="697"/>
      <c r="B63" s="144">
        <v>12</v>
      </c>
      <c r="C63" s="237">
        <v>2.7</v>
      </c>
      <c r="D63" s="200">
        <v>2.7</v>
      </c>
      <c r="E63" s="200">
        <v>2.7</v>
      </c>
      <c r="F63" s="269">
        <v>2.6</v>
      </c>
      <c r="G63" s="269">
        <v>2.6</v>
      </c>
      <c r="H63" s="269">
        <v>2.6</v>
      </c>
      <c r="I63" s="270">
        <v>2.6</v>
      </c>
      <c r="J63" s="697"/>
      <c r="K63" s="144">
        <v>12</v>
      </c>
      <c r="L63" s="179">
        <v>2.6</v>
      </c>
      <c r="M63" s="181">
        <v>2.5</v>
      </c>
      <c r="N63" s="181">
        <v>2.5</v>
      </c>
      <c r="O63" s="181">
        <v>2.5</v>
      </c>
      <c r="P63" s="181">
        <v>2.5</v>
      </c>
      <c r="Q63" s="181">
        <v>2.5</v>
      </c>
      <c r="R63" s="182">
        <v>2.5</v>
      </c>
      <c r="S63" s="697"/>
      <c r="T63" s="144">
        <v>12</v>
      </c>
      <c r="U63" s="183">
        <v>2.5</v>
      </c>
      <c r="V63" s="181">
        <v>2.5</v>
      </c>
      <c r="W63" s="181">
        <v>2.5</v>
      </c>
      <c r="X63" s="181">
        <v>2.5</v>
      </c>
      <c r="Y63" s="181">
        <v>2.5</v>
      </c>
      <c r="Z63" s="184">
        <v>2.4</v>
      </c>
      <c r="AA63" s="185">
        <v>2.4</v>
      </c>
      <c r="AB63" s="697"/>
      <c r="AC63" s="144">
        <v>12</v>
      </c>
      <c r="AD63" s="183">
        <v>2.5</v>
      </c>
      <c r="AE63" s="181">
        <v>2.5</v>
      </c>
      <c r="AF63" s="181">
        <v>2.5</v>
      </c>
      <c r="AG63" s="181">
        <v>2.5</v>
      </c>
      <c r="AH63" s="184">
        <v>2.4</v>
      </c>
      <c r="AI63" s="184">
        <v>2.4</v>
      </c>
      <c r="AJ63" s="185">
        <v>2.4</v>
      </c>
      <c r="AK63" s="140"/>
      <c r="AL63" s="697"/>
      <c r="AM63" s="144">
        <v>12</v>
      </c>
      <c r="AN63" s="205"/>
      <c r="AO63" s="206"/>
      <c r="AP63" s="206"/>
      <c r="AQ63" s="206"/>
      <c r="AR63" s="206"/>
      <c r="AS63" s="206"/>
      <c r="AT63" s="207"/>
      <c r="AU63" s="697"/>
      <c r="AV63" s="144">
        <v>12</v>
      </c>
      <c r="AW63" s="205"/>
      <c r="AX63" s="206"/>
      <c r="AY63" s="206"/>
      <c r="AZ63" s="206"/>
      <c r="BA63" s="206"/>
      <c r="BB63" s="206"/>
      <c r="BC63" s="207"/>
      <c r="BD63" s="697"/>
      <c r="BE63" s="144">
        <v>12</v>
      </c>
      <c r="BF63" s="205"/>
      <c r="BG63" s="206"/>
      <c r="BH63" s="206"/>
      <c r="BI63" s="206"/>
      <c r="BJ63" s="206"/>
      <c r="BK63" s="206"/>
      <c r="BL63" s="207"/>
      <c r="BM63" s="697"/>
      <c r="BN63" s="144">
        <v>12</v>
      </c>
      <c r="BO63" s="205"/>
      <c r="BP63" s="206"/>
      <c r="BQ63" s="206"/>
      <c r="BR63" s="206"/>
      <c r="BS63" s="206"/>
      <c r="BT63" s="206"/>
      <c r="BU63" s="207"/>
      <c r="BY63" s="139" t="s">
        <v>515</v>
      </c>
      <c r="BZ63" s="76" t="s">
        <v>500</v>
      </c>
      <c r="CA63" s="76" t="s">
        <v>501</v>
      </c>
      <c r="CB63" s="76" t="s">
        <v>502</v>
      </c>
      <c r="CC63" s="76" t="s">
        <v>503</v>
      </c>
    </row>
    <row r="64" spans="1:81">
      <c r="A64" s="697"/>
      <c r="B64" s="144">
        <v>15</v>
      </c>
      <c r="C64" s="237">
        <v>2.7</v>
      </c>
      <c r="D64" s="269">
        <v>2.6</v>
      </c>
      <c r="E64" s="269">
        <v>2.6</v>
      </c>
      <c r="F64" s="269">
        <v>2.6</v>
      </c>
      <c r="G64" s="269">
        <v>2.6</v>
      </c>
      <c r="H64" s="269">
        <v>2.6</v>
      </c>
      <c r="I64" s="270">
        <v>2.6</v>
      </c>
      <c r="J64" s="697"/>
      <c r="K64" s="144">
        <v>15</v>
      </c>
      <c r="L64" s="183">
        <v>2.5</v>
      </c>
      <c r="M64" s="181">
        <v>2.5</v>
      </c>
      <c r="N64" s="181">
        <v>2.5</v>
      </c>
      <c r="O64" s="181">
        <v>2.5</v>
      </c>
      <c r="P64" s="181">
        <v>2.5</v>
      </c>
      <c r="Q64" s="181">
        <v>2.5</v>
      </c>
      <c r="R64" s="185">
        <v>2.4</v>
      </c>
      <c r="S64" s="697"/>
      <c r="T64" s="144">
        <v>15</v>
      </c>
      <c r="U64" s="183">
        <v>2.5</v>
      </c>
      <c r="V64" s="181">
        <v>2.5</v>
      </c>
      <c r="W64" s="181">
        <v>2.5</v>
      </c>
      <c r="X64" s="181">
        <v>2.5</v>
      </c>
      <c r="Y64" s="184">
        <v>2.4</v>
      </c>
      <c r="Z64" s="184">
        <v>2.4</v>
      </c>
      <c r="AA64" s="185">
        <v>2.4</v>
      </c>
      <c r="AB64" s="697"/>
      <c r="AC64" s="144">
        <v>15</v>
      </c>
      <c r="AD64" s="183">
        <v>2.5</v>
      </c>
      <c r="AE64" s="181">
        <v>2.5</v>
      </c>
      <c r="AF64" s="184">
        <v>2.4</v>
      </c>
      <c r="AG64" s="184">
        <v>2.4</v>
      </c>
      <c r="AH64" s="184">
        <v>2.4</v>
      </c>
      <c r="AI64" s="184">
        <v>2.4</v>
      </c>
      <c r="AJ64" s="185">
        <v>2.4</v>
      </c>
      <c r="AK64" s="140"/>
      <c r="AL64" s="697"/>
      <c r="AM64" s="144">
        <v>15</v>
      </c>
      <c r="AN64" s="205"/>
      <c r="AO64" s="206"/>
      <c r="AP64" s="206"/>
      <c r="AQ64" s="206"/>
      <c r="AR64" s="206"/>
      <c r="AS64" s="206"/>
      <c r="AT64" s="207"/>
      <c r="AU64" s="697"/>
      <c r="AV64" s="144">
        <v>15</v>
      </c>
      <c r="AW64" s="205"/>
      <c r="AX64" s="206"/>
      <c r="AY64" s="206"/>
      <c r="AZ64" s="206"/>
      <c r="BA64" s="206"/>
      <c r="BB64" s="206"/>
      <c r="BC64" s="207"/>
      <c r="BD64" s="697"/>
      <c r="BE64" s="144">
        <v>15</v>
      </c>
      <c r="BF64" s="205"/>
      <c r="BG64" s="206"/>
      <c r="BH64" s="206"/>
      <c r="BI64" s="206"/>
      <c r="BJ64" s="206"/>
      <c r="BK64" s="206"/>
      <c r="BL64" s="207"/>
      <c r="BM64" s="697"/>
      <c r="BN64" s="144">
        <v>15</v>
      </c>
      <c r="BO64" s="205"/>
      <c r="BP64" s="206"/>
      <c r="BQ64" s="206"/>
      <c r="BR64" s="206"/>
      <c r="BS64" s="206"/>
      <c r="BT64" s="206"/>
      <c r="BU64" s="207"/>
      <c r="BY64" s="139">
        <v>6</v>
      </c>
      <c r="BZ64" s="139" t="e">
        <f>VLOOKUP($CA$17,E152:F154,2,FALSE)</f>
        <v>#N/A</v>
      </c>
      <c r="CA64" s="139" t="e">
        <f>VLOOKUP($CA$17,N152:O154,2,FALSE)</f>
        <v>#N/A</v>
      </c>
      <c r="CB64" s="139" t="e">
        <f>VLOOKUP($CA$17,W152:X154,2,FALSE)</f>
        <v>#N/A</v>
      </c>
      <c r="CC64" s="139" t="e">
        <f>VLOOKUP($CA$17,AF152:AG154,2,FALSE)</f>
        <v>#N/A</v>
      </c>
    </row>
    <row r="65" spans="1:81" ht="13.5" thickBot="1">
      <c r="A65" s="697"/>
      <c r="B65" s="209">
        <v>19</v>
      </c>
      <c r="C65" s="273">
        <v>2.6</v>
      </c>
      <c r="D65" s="274">
        <v>2.6</v>
      </c>
      <c r="E65" s="274">
        <v>2.6</v>
      </c>
      <c r="F65" s="274">
        <v>2.6</v>
      </c>
      <c r="G65" s="274">
        <v>2.6</v>
      </c>
      <c r="H65" s="274">
        <v>2.6</v>
      </c>
      <c r="I65" s="275">
        <v>2.5</v>
      </c>
      <c r="J65" s="697"/>
      <c r="K65" s="209">
        <v>19</v>
      </c>
      <c r="L65" s="216">
        <v>2.5</v>
      </c>
      <c r="M65" s="217">
        <v>2.5</v>
      </c>
      <c r="N65" s="217">
        <v>2.5</v>
      </c>
      <c r="O65" s="217">
        <v>2.5</v>
      </c>
      <c r="P65" s="217">
        <v>2.5</v>
      </c>
      <c r="Q65" s="218">
        <v>2.4</v>
      </c>
      <c r="R65" s="219">
        <v>2.4</v>
      </c>
      <c r="S65" s="697"/>
      <c r="T65" s="209">
        <v>19</v>
      </c>
      <c r="U65" s="216">
        <v>2.5</v>
      </c>
      <c r="V65" s="217">
        <v>2.5</v>
      </c>
      <c r="W65" s="218">
        <v>2.4</v>
      </c>
      <c r="X65" s="218">
        <v>2.4</v>
      </c>
      <c r="Y65" s="218">
        <v>2.4</v>
      </c>
      <c r="Z65" s="218">
        <v>2.4</v>
      </c>
      <c r="AA65" s="219">
        <v>2.4</v>
      </c>
      <c r="AB65" s="697"/>
      <c r="AC65" s="209">
        <v>19</v>
      </c>
      <c r="AD65" s="220">
        <v>2.4</v>
      </c>
      <c r="AE65" s="218">
        <v>2.4</v>
      </c>
      <c r="AF65" s="218">
        <v>2.4</v>
      </c>
      <c r="AG65" s="218">
        <v>2.4</v>
      </c>
      <c r="AH65" s="218">
        <v>2.4</v>
      </c>
      <c r="AI65" s="218">
        <v>2.4</v>
      </c>
      <c r="AJ65" s="219">
        <v>2.4</v>
      </c>
      <c r="AK65" s="140"/>
      <c r="AL65" s="697"/>
      <c r="AM65" s="209">
        <v>19</v>
      </c>
      <c r="AN65" s="222"/>
      <c r="AO65" s="223"/>
      <c r="AP65" s="223"/>
      <c r="AQ65" s="223"/>
      <c r="AR65" s="223"/>
      <c r="AS65" s="223"/>
      <c r="AT65" s="224"/>
      <c r="AU65" s="697"/>
      <c r="AV65" s="209">
        <v>19</v>
      </c>
      <c r="AW65" s="222"/>
      <c r="AX65" s="223"/>
      <c r="AY65" s="223"/>
      <c r="AZ65" s="223"/>
      <c r="BA65" s="223"/>
      <c r="BB65" s="223"/>
      <c r="BC65" s="224"/>
      <c r="BD65" s="697"/>
      <c r="BE65" s="209">
        <v>19</v>
      </c>
      <c r="BF65" s="222"/>
      <c r="BG65" s="223"/>
      <c r="BH65" s="223"/>
      <c r="BI65" s="223"/>
      <c r="BJ65" s="223"/>
      <c r="BK65" s="223"/>
      <c r="BL65" s="224"/>
      <c r="BM65" s="697"/>
      <c r="BN65" s="209">
        <v>19</v>
      </c>
      <c r="BO65" s="222"/>
      <c r="BP65" s="223"/>
      <c r="BQ65" s="223"/>
      <c r="BR65" s="223"/>
      <c r="BS65" s="223"/>
      <c r="BT65" s="223"/>
      <c r="BU65" s="224"/>
      <c r="BY65" s="139">
        <v>8</v>
      </c>
      <c r="BZ65" s="139" t="e">
        <f>VLOOKUP($CA$17,E156:F158,2,FALSE)</f>
        <v>#N/A</v>
      </c>
      <c r="CA65" s="139" t="e">
        <f>VLOOKUP($CA$17,N156:O158,2,FALSE)</f>
        <v>#N/A</v>
      </c>
      <c r="CB65" s="139" t="e">
        <f>VLOOKUP($CA$17,W156:X158,2,FALSE)</f>
        <v>#N/A</v>
      </c>
      <c r="CC65" s="139" t="e">
        <f>VLOOKUP($CA$17,AF156:AG158,2,FALSE)</f>
        <v>#N/A</v>
      </c>
    </row>
    <row r="66" spans="1:81" ht="13.5" thickBot="1">
      <c r="C66" s="696" t="s">
        <v>6</v>
      </c>
      <c r="D66" s="696"/>
      <c r="E66" s="696"/>
      <c r="F66" s="696"/>
      <c r="G66" s="696"/>
      <c r="H66" s="696"/>
      <c r="I66" s="696"/>
      <c r="L66" s="696" t="s">
        <v>6</v>
      </c>
      <c r="M66" s="696"/>
      <c r="N66" s="696"/>
      <c r="O66" s="696"/>
      <c r="P66" s="696"/>
      <c r="Q66" s="696"/>
      <c r="R66" s="696"/>
      <c r="U66" s="696" t="s">
        <v>6</v>
      </c>
      <c r="V66" s="696"/>
      <c r="W66" s="696"/>
      <c r="X66" s="696"/>
      <c r="Y66" s="696"/>
      <c r="Z66" s="696"/>
      <c r="AA66" s="696"/>
      <c r="AD66" s="696" t="s">
        <v>6</v>
      </c>
      <c r="AE66" s="696"/>
      <c r="AF66" s="696"/>
      <c r="AG66" s="696"/>
      <c r="AH66" s="696"/>
      <c r="AI66" s="696"/>
      <c r="AJ66" s="696"/>
      <c r="AK66" s="140"/>
      <c r="AN66" s="696" t="s">
        <v>6</v>
      </c>
      <c r="AO66" s="696"/>
      <c r="AP66" s="696"/>
      <c r="AQ66" s="696"/>
      <c r="AR66" s="696"/>
      <c r="AS66" s="696"/>
      <c r="AT66" s="696"/>
      <c r="AW66" s="696" t="s">
        <v>6</v>
      </c>
      <c r="AX66" s="696"/>
      <c r="AY66" s="696"/>
      <c r="AZ66" s="696"/>
      <c r="BA66" s="696"/>
      <c r="BB66" s="696"/>
      <c r="BC66" s="696"/>
      <c r="BF66" s="696" t="s">
        <v>6</v>
      </c>
      <c r="BG66" s="696"/>
      <c r="BH66" s="696"/>
      <c r="BI66" s="696"/>
      <c r="BJ66" s="696"/>
      <c r="BK66" s="696"/>
      <c r="BL66" s="696"/>
      <c r="BO66" s="696" t="s">
        <v>6</v>
      </c>
      <c r="BP66" s="696"/>
      <c r="BQ66" s="696"/>
      <c r="BR66" s="696"/>
      <c r="BS66" s="696"/>
      <c r="BT66" s="696"/>
      <c r="BU66" s="696"/>
      <c r="BY66" s="139">
        <v>10</v>
      </c>
      <c r="BZ66" s="139" t="e">
        <f>VLOOKUP($CA$17,E160:F162,2,FALSE)</f>
        <v>#N/A</v>
      </c>
      <c r="CA66" s="139" t="e">
        <f>VLOOKUP($CA$17,N160:O162,2,FALSE)</f>
        <v>#N/A</v>
      </c>
      <c r="CB66" s="139" t="e">
        <f>VLOOKUP($CA$17,W160:X162,2,FALSE)</f>
        <v>#N/A</v>
      </c>
      <c r="CC66" s="139" t="e">
        <f>VLOOKUP($CA$17,AF160:AG162,2,FALSE)</f>
        <v>#N/A</v>
      </c>
    </row>
    <row r="67" spans="1:81" ht="13.5" thickBot="1">
      <c r="B67" s="141">
        <v>18</v>
      </c>
      <c r="C67" s="142">
        <v>4</v>
      </c>
      <c r="D67" s="142">
        <v>6</v>
      </c>
      <c r="E67" s="142">
        <v>8</v>
      </c>
      <c r="F67" s="142">
        <v>10</v>
      </c>
      <c r="G67" s="142">
        <v>12</v>
      </c>
      <c r="H67" s="142">
        <v>15</v>
      </c>
      <c r="I67" s="143">
        <v>19</v>
      </c>
      <c r="K67" s="141">
        <v>18</v>
      </c>
      <c r="L67" s="142">
        <v>4</v>
      </c>
      <c r="M67" s="142">
        <v>6</v>
      </c>
      <c r="N67" s="142">
        <v>8</v>
      </c>
      <c r="O67" s="142">
        <v>10</v>
      </c>
      <c r="P67" s="142">
        <v>12</v>
      </c>
      <c r="Q67" s="142">
        <v>15</v>
      </c>
      <c r="R67" s="143">
        <v>19</v>
      </c>
      <c r="T67" s="141">
        <v>18</v>
      </c>
      <c r="U67" s="142">
        <v>4</v>
      </c>
      <c r="V67" s="142">
        <v>6</v>
      </c>
      <c r="W67" s="142">
        <v>8</v>
      </c>
      <c r="X67" s="142">
        <v>10</v>
      </c>
      <c r="Y67" s="142">
        <v>12</v>
      </c>
      <c r="Z67" s="142">
        <v>15</v>
      </c>
      <c r="AA67" s="143">
        <v>19</v>
      </c>
      <c r="AC67" s="141">
        <v>18</v>
      </c>
      <c r="AD67" s="142">
        <v>4</v>
      </c>
      <c r="AE67" s="142">
        <v>6</v>
      </c>
      <c r="AF67" s="142">
        <v>8</v>
      </c>
      <c r="AG67" s="142">
        <v>10</v>
      </c>
      <c r="AH67" s="142">
        <v>12</v>
      </c>
      <c r="AI67" s="142">
        <v>15</v>
      </c>
      <c r="AJ67" s="143">
        <v>19</v>
      </c>
      <c r="AK67" s="140"/>
      <c r="AM67" s="141">
        <v>18</v>
      </c>
      <c r="AN67" s="142">
        <v>4</v>
      </c>
      <c r="AO67" s="142">
        <v>6</v>
      </c>
      <c r="AP67" s="142">
        <v>8</v>
      </c>
      <c r="AQ67" s="142">
        <v>10</v>
      </c>
      <c r="AR67" s="142">
        <v>12</v>
      </c>
      <c r="AS67" s="142">
        <v>15</v>
      </c>
      <c r="AT67" s="143">
        <v>19</v>
      </c>
      <c r="AV67" s="141">
        <v>18</v>
      </c>
      <c r="AW67" s="142">
        <v>4</v>
      </c>
      <c r="AX67" s="142">
        <v>6</v>
      </c>
      <c r="AY67" s="142">
        <v>8</v>
      </c>
      <c r="AZ67" s="142">
        <v>10</v>
      </c>
      <c r="BA67" s="142">
        <v>12</v>
      </c>
      <c r="BB67" s="142">
        <v>15</v>
      </c>
      <c r="BC67" s="143">
        <v>19</v>
      </c>
      <c r="BE67" s="141">
        <v>18</v>
      </c>
      <c r="BF67" s="142">
        <v>4</v>
      </c>
      <c r="BG67" s="142">
        <v>6</v>
      </c>
      <c r="BH67" s="142">
        <v>8</v>
      </c>
      <c r="BI67" s="142">
        <v>10</v>
      </c>
      <c r="BJ67" s="142">
        <v>12</v>
      </c>
      <c r="BK67" s="142">
        <v>15</v>
      </c>
      <c r="BL67" s="143">
        <v>19</v>
      </c>
      <c r="BN67" s="141">
        <v>18</v>
      </c>
      <c r="BO67" s="142">
        <v>4</v>
      </c>
      <c r="BP67" s="142">
        <v>6</v>
      </c>
      <c r="BQ67" s="142">
        <v>8</v>
      </c>
      <c r="BR67" s="142">
        <v>10</v>
      </c>
      <c r="BS67" s="142">
        <v>12</v>
      </c>
      <c r="BT67" s="142">
        <v>15</v>
      </c>
      <c r="BU67" s="143">
        <v>19</v>
      </c>
      <c r="BY67" s="139">
        <v>12</v>
      </c>
      <c r="BZ67" s="139" t="e">
        <f>VLOOKUP($CA$17,E164:F166,2,FALSE)</f>
        <v>#N/A</v>
      </c>
      <c r="CA67" s="139" t="e">
        <f>VLOOKUP($CA$17,N164:O166,2,FALSE)</f>
        <v>#N/A</v>
      </c>
      <c r="CB67" s="139" t="e">
        <f>VLOOKUP($CA$17,W164:X166,2,FALSE)</f>
        <v>#N/A</v>
      </c>
      <c r="CC67" s="139" t="e">
        <f>VLOOKUP($CA$17,AF164:AG166,2,FALSE)</f>
        <v>#N/A</v>
      </c>
    </row>
    <row r="68" spans="1:81" ht="15" customHeight="1">
      <c r="A68" s="697" t="s">
        <v>5</v>
      </c>
      <c r="B68" s="144">
        <v>4</v>
      </c>
      <c r="C68" s="252">
        <v>2.7</v>
      </c>
      <c r="D68" s="228">
        <v>2.7</v>
      </c>
      <c r="E68" s="228">
        <v>2.7</v>
      </c>
      <c r="F68" s="228">
        <v>2.7</v>
      </c>
      <c r="G68" s="228">
        <v>2.7</v>
      </c>
      <c r="H68" s="228">
        <v>2.7</v>
      </c>
      <c r="I68" s="253">
        <v>2.6</v>
      </c>
      <c r="J68" s="697" t="s">
        <v>5</v>
      </c>
      <c r="K68" s="144">
        <v>4</v>
      </c>
      <c r="L68" s="151">
        <v>2.6</v>
      </c>
      <c r="M68" s="152">
        <v>2.6</v>
      </c>
      <c r="N68" s="152">
        <v>2.6</v>
      </c>
      <c r="O68" s="152">
        <v>2.6</v>
      </c>
      <c r="P68" s="152">
        <v>2.6</v>
      </c>
      <c r="Q68" s="153">
        <v>2.5</v>
      </c>
      <c r="R68" s="154">
        <v>2.5</v>
      </c>
      <c r="S68" s="697" t="s">
        <v>5</v>
      </c>
      <c r="T68" s="144">
        <v>4</v>
      </c>
      <c r="U68" s="151">
        <v>2.6</v>
      </c>
      <c r="V68" s="152">
        <v>2.6</v>
      </c>
      <c r="W68" s="153">
        <v>2.5</v>
      </c>
      <c r="X68" s="153">
        <v>2.5</v>
      </c>
      <c r="Y68" s="153">
        <v>2.5</v>
      </c>
      <c r="Z68" s="153">
        <v>2.5</v>
      </c>
      <c r="AA68" s="154">
        <v>2.5</v>
      </c>
      <c r="AB68" s="697" t="s">
        <v>5</v>
      </c>
      <c r="AC68" s="144">
        <v>4</v>
      </c>
      <c r="AD68" s="155">
        <v>2.5</v>
      </c>
      <c r="AE68" s="153">
        <v>2.5</v>
      </c>
      <c r="AF68" s="153">
        <v>2.5</v>
      </c>
      <c r="AG68" s="153">
        <v>2.5</v>
      </c>
      <c r="AH68" s="153">
        <v>2.5</v>
      </c>
      <c r="AI68" s="153">
        <v>2.5</v>
      </c>
      <c r="AJ68" s="157">
        <v>2.4</v>
      </c>
      <c r="AK68" s="140"/>
      <c r="AL68" s="697" t="s">
        <v>5</v>
      </c>
      <c r="AM68" s="144">
        <v>4</v>
      </c>
      <c r="AN68" s="232">
        <v>1.4</v>
      </c>
      <c r="AO68" s="233">
        <v>1.4</v>
      </c>
      <c r="AP68" s="233">
        <v>1.4</v>
      </c>
      <c r="AQ68" s="233">
        <v>1.4</v>
      </c>
      <c r="AR68" s="233">
        <v>1.4</v>
      </c>
      <c r="AS68" s="233">
        <v>1.4</v>
      </c>
      <c r="AT68" s="234">
        <v>1.4</v>
      </c>
      <c r="AU68" s="697" t="s">
        <v>5</v>
      </c>
      <c r="AV68" s="144">
        <v>4</v>
      </c>
      <c r="AW68" s="165">
        <v>1.1000000000000001</v>
      </c>
      <c r="AX68" s="166">
        <v>1.1000000000000001</v>
      </c>
      <c r="AY68" s="166">
        <v>1.1000000000000001</v>
      </c>
      <c r="AZ68" s="166">
        <v>1.1000000000000001</v>
      </c>
      <c r="BA68" s="166">
        <v>1.1000000000000001</v>
      </c>
      <c r="BB68" s="166">
        <v>1.1000000000000001</v>
      </c>
      <c r="BC68" s="264">
        <v>1.1000000000000001</v>
      </c>
      <c r="BD68" s="697" t="s">
        <v>5</v>
      </c>
      <c r="BE68" s="144">
        <v>4</v>
      </c>
      <c r="BF68" s="257">
        <v>1</v>
      </c>
      <c r="BG68" s="258">
        <v>1</v>
      </c>
      <c r="BH68" s="258">
        <v>1</v>
      </c>
      <c r="BI68" s="258">
        <v>1</v>
      </c>
      <c r="BJ68" s="258">
        <v>1</v>
      </c>
      <c r="BK68" s="258">
        <v>1</v>
      </c>
      <c r="BL68" s="167">
        <v>1</v>
      </c>
      <c r="BM68" s="697" t="s">
        <v>5</v>
      </c>
      <c r="BN68" s="144">
        <v>4</v>
      </c>
      <c r="BO68" s="168">
        <v>0.9</v>
      </c>
      <c r="BP68" s="169">
        <v>0.9</v>
      </c>
      <c r="BQ68" s="169">
        <v>0.9</v>
      </c>
      <c r="BR68" s="169">
        <v>0.9</v>
      </c>
      <c r="BS68" s="169">
        <v>0.9</v>
      </c>
      <c r="BT68" s="169">
        <v>0.9</v>
      </c>
      <c r="BU68" s="235">
        <v>0.9</v>
      </c>
      <c r="BY68" s="139">
        <v>14</v>
      </c>
      <c r="BZ68" s="139" t="e">
        <f>VLOOKUP($CA$17,E168:F170,2,FALSE)</f>
        <v>#N/A</v>
      </c>
      <c r="CA68" s="139" t="e">
        <f>VLOOKUP($CA$17,N168:O170,2,FALSE)</f>
        <v>#N/A</v>
      </c>
      <c r="CB68" s="139" t="e">
        <f>VLOOKUP($CA$17,W168:X170,2,FALSE)</f>
        <v>#N/A</v>
      </c>
      <c r="CC68" s="139" t="e">
        <f>VLOOKUP($CA$17,AF168:AG170,2,FALSE)</f>
        <v>#N/A</v>
      </c>
    </row>
    <row r="69" spans="1:81">
      <c r="A69" s="697"/>
      <c r="B69" s="144">
        <v>6</v>
      </c>
      <c r="C69" s="237">
        <v>2.7</v>
      </c>
      <c r="D69" s="200">
        <v>2.7</v>
      </c>
      <c r="E69" s="200">
        <v>2.7</v>
      </c>
      <c r="F69" s="200">
        <v>2.7</v>
      </c>
      <c r="G69" s="200">
        <v>2.7</v>
      </c>
      <c r="H69" s="200">
        <v>2.7</v>
      </c>
      <c r="I69" s="238">
        <v>2.6</v>
      </c>
      <c r="J69" s="697"/>
      <c r="K69" s="144">
        <v>6</v>
      </c>
      <c r="L69" s="179">
        <v>2.6</v>
      </c>
      <c r="M69" s="180">
        <v>2.6</v>
      </c>
      <c r="N69" s="180">
        <v>2.6</v>
      </c>
      <c r="O69" s="180">
        <v>2.6</v>
      </c>
      <c r="P69" s="180">
        <v>2.6</v>
      </c>
      <c r="Q69" s="181">
        <v>2.5</v>
      </c>
      <c r="R69" s="182">
        <v>2.5</v>
      </c>
      <c r="S69" s="697"/>
      <c r="T69" s="144">
        <v>6</v>
      </c>
      <c r="U69" s="179">
        <v>2.6</v>
      </c>
      <c r="V69" s="181">
        <v>2.5</v>
      </c>
      <c r="W69" s="181">
        <v>2.5</v>
      </c>
      <c r="X69" s="181">
        <v>2.5</v>
      </c>
      <c r="Y69" s="181">
        <v>2.5</v>
      </c>
      <c r="Z69" s="181">
        <v>2.5</v>
      </c>
      <c r="AA69" s="182">
        <v>2.5</v>
      </c>
      <c r="AB69" s="697"/>
      <c r="AC69" s="144">
        <v>6</v>
      </c>
      <c r="AD69" s="183">
        <v>2.5</v>
      </c>
      <c r="AE69" s="181">
        <v>2.5</v>
      </c>
      <c r="AF69" s="181">
        <v>2.5</v>
      </c>
      <c r="AG69" s="181">
        <v>2.5</v>
      </c>
      <c r="AH69" s="181">
        <v>2.5</v>
      </c>
      <c r="AI69" s="181">
        <v>2.5</v>
      </c>
      <c r="AJ69" s="185">
        <v>2.4</v>
      </c>
      <c r="AK69" s="140"/>
      <c r="AL69" s="697"/>
      <c r="AM69" s="144">
        <v>6</v>
      </c>
      <c r="AN69" s="242">
        <v>1.4</v>
      </c>
      <c r="AO69" s="243">
        <v>1.4</v>
      </c>
      <c r="AP69" s="243">
        <v>1.4</v>
      </c>
      <c r="AQ69" s="243">
        <v>1.4</v>
      </c>
      <c r="AR69" s="243">
        <v>1.4</v>
      </c>
      <c r="AS69" s="243">
        <v>1.4</v>
      </c>
      <c r="AT69" s="272">
        <v>1.3</v>
      </c>
      <c r="AU69" s="697"/>
      <c r="AV69" s="144">
        <v>6</v>
      </c>
      <c r="AW69" s="193">
        <v>1.1000000000000001</v>
      </c>
      <c r="AX69" s="194">
        <v>1.1000000000000001</v>
      </c>
      <c r="AY69" s="194">
        <v>1.1000000000000001</v>
      </c>
      <c r="AZ69" s="194">
        <v>1.1000000000000001</v>
      </c>
      <c r="BA69" s="194">
        <v>1.1000000000000001</v>
      </c>
      <c r="BB69" s="194">
        <v>1.1000000000000001</v>
      </c>
      <c r="BC69" s="265">
        <v>1.1000000000000001</v>
      </c>
      <c r="BD69" s="697"/>
      <c r="BE69" s="144">
        <v>6</v>
      </c>
      <c r="BF69" s="262">
        <v>1</v>
      </c>
      <c r="BG69" s="201">
        <v>1</v>
      </c>
      <c r="BH69" s="201">
        <v>1</v>
      </c>
      <c r="BI69" s="201">
        <v>1</v>
      </c>
      <c r="BJ69" s="201">
        <v>1</v>
      </c>
      <c r="BK69" s="201">
        <v>1</v>
      </c>
      <c r="BL69" s="195">
        <v>1</v>
      </c>
      <c r="BM69" s="697"/>
      <c r="BN69" s="144">
        <v>6</v>
      </c>
      <c r="BO69" s="196">
        <v>0.9</v>
      </c>
      <c r="BP69" s="245">
        <v>0.9</v>
      </c>
      <c r="BQ69" s="245">
        <v>0.9</v>
      </c>
      <c r="BR69" s="245">
        <v>0.9</v>
      </c>
      <c r="BS69" s="245">
        <v>0.9</v>
      </c>
      <c r="BT69" s="245">
        <v>0.9</v>
      </c>
      <c r="BU69" s="246">
        <v>0.9</v>
      </c>
    </row>
    <row r="70" spans="1:81">
      <c r="A70" s="697"/>
      <c r="B70" s="144">
        <v>8</v>
      </c>
      <c r="C70" s="237">
        <v>2.7</v>
      </c>
      <c r="D70" s="200">
        <v>2.7</v>
      </c>
      <c r="E70" s="200">
        <v>2.7</v>
      </c>
      <c r="F70" s="200">
        <v>2.7</v>
      </c>
      <c r="G70" s="200">
        <v>2.7</v>
      </c>
      <c r="H70" s="180">
        <v>2.6</v>
      </c>
      <c r="I70" s="238">
        <v>2.6</v>
      </c>
      <c r="J70" s="697"/>
      <c r="K70" s="144">
        <v>8</v>
      </c>
      <c r="L70" s="179">
        <v>2.6</v>
      </c>
      <c r="M70" s="180">
        <v>2.6</v>
      </c>
      <c r="N70" s="180">
        <v>2.6</v>
      </c>
      <c r="O70" s="180">
        <v>2.6</v>
      </c>
      <c r="P70" s="181">
        <v>2.5</v>
      </c>
      <c r="Q70" s="181">
        <v>2.5</v>
      </c>
      <c r="R70" s="182">
        <v>2.5</v>
      </c>
      <c r="S70" s="697"/>
      <c r="T70" s="144">
        <v>8</v>
      </c>
      <c r="U70" s="183">
        <v>2.5</v>
      </c>
      <c r="V70" s="181">
        <v>2.5</v>
      </c>
      <c r="W70" s="181">
        <v>2.5</v>
      </c>
      <c r="X70" s="181">
        <v>2.5</v>
      </c>
      <c r="Y70" s="181">
        <v>2.5</v>
      </c>
      <c r="Z70" s="181">
        <v>2.5</v>
      </c>
      <c r="AA70" s="182">
        <v>2.5</v>
      </c>
      <c r="AB70" s="697"/>
      <c r="AC70" s="144">
        <v>8</v>
      </c>
      <c r="AD70" s="183">
        <v>2.5</v>
      </c>
      <c r="AE70" s="181">
        <v>2.5</v>
      </c>
      <c r="AF70" s="181">
        <v>2.5</v>
      </c>
      <c r="AG70" s="181">
        <v>2.5</v>
      </c>
      <c r="AH70" s="181">
        <v>2.5</v>
      </c>
      <c r="AI70" s="184">
        <v>2.4</v>
      </c>
      <c r="AJ70" s="185">
        <v>2.4</v>
      </c>
      <c r="AK70" s="140"/>
      <c r="AL70" s="697"/>
      <c r="AM70" s="144">
        <v>8</v>
      </c>
      <c r="AN70" s="242">
        <v>1.4</v>
      </c>
      <c r="AO70" s="243">
        <v>1.4</v>
      </c>
      <c r="AP70" s="243">
        <v>1.4</v>
      </c>
      <c r="AQ70" s="243">
        <v>1.4</v>
      </c>
      <c r="AR70" s="243">
        <v>1.4</v>
      </c>
      <c r="AS70" s="243">
        <v>1.4</v>
      </c>
      <c r="AT70" s="272">
        <v>1.3</v>
      </c>
      <c r="AU70" s="697"/>
      <c r="AV70" s="144">
        <v>8</v>
      </c>
      <c r="AW70" s="193">
        <v>1.1000000000000001</v>
      </c>
      <c r="AX70" s="194">
        <v>1.1000000000000001</v>
      </c>
      <c r="AY70" s="194">
        <v>1.1000000000000001</v>
      </c>
      <c r="AZ70" s="194">
        <v>1.1000000000000001</v>
      </c>
      <c r="BA70" s="194">
        <v>1.1000000000000001</v>
      </c>
      <c r="BB70" s="194">
        <v>1.1000000000000001</v>
      </c>
      <c r="BC70" s="265">
        <v>1.1000000000000001</v>
      </c>
      <c r="BD70" s="697"/>
      <c r="BE70" s="144">
        <v>8</v>
      </c>
      <c r="BF70" s="262">
        <v>1</v>
      </c>
      <c r="BG70" s="201">
        <v>1</v>
      </c>
      <c r="BH70" s="201">
        <v>1</v>
      </c>
      <c r="BI70" s="201">
        <v>1</v>
      </c>
      <c r="BJ70" s="201">
        <v>1</v>
      </c>
      <c r="BK70" s="201">
        <v>1</v>
      </c>
      <c r="BL70" s="195">
        <v>1</v>
      </c>
      <c r="BM70" s="697"/>
      <c r="BN70" s="144">
        <v>8</v>
      </c>
      <c r="BO70" s="196">
        <v>0.9</v>
      </c>
      <c r="BP70" s="245">
        <v>0.9</v>
      </c>
      <c r="BQ70" s="245">
        <v>0.9</v>
      </c>
      <c r="BR70" s="245">
        <v>0.9</v>
      </c>
      <c r="BS70" s="245">
        <v>0.9</v>
      </c>
      <c r="BT70" s="245">
        <v>0.9</v>
      </c>
      <c r="BU70" s="246">
        <v>0.9</v>
      </c>
    </row>
    <row r="71" spans="1:81">
      <c r="A71" s="697"/>
      <c r="B71" s="144">
        <v>10</v>
      </c>
      <c r="C71" s="237">
        <v>2.7</v>
      </c>
      <c r="D71" s="200">
        <v>2.7</v>
      </c>
      <c r="E71" s="200">
        <v>2.7</v>
      </c>
      <c r="F71" s="200">
        <v>2.7</v>
      </c>
      <c r="G71" s="180">
        <v>2.6</v>
      </c>
      <c r="H71" s="180">
        <v>2.6</v>
      </c>
      <c r="I71" s="238">
        <v>2.6</v>
      </c>
      <c r="J71" s="697"/>
      <c r="K71" s="144">
        <v>10</v>
      </c>
      <c r="L71" s="179">
        <v>2.6</v>
      </c>
      <c r="M71" s="180">
        <v>2.6</v>
      </c>
      <c r="N71" s="180">
        <v>2.6</v>
      </c>
      <c r="O71" s="181">
        <v>2.5</v>
      </c>
      <c r="P71" s="181">
        <v>2.5</v>
      </c>
      <c r="Q71" s="181">
        <v>2.5</v>
      </c>
      <c r="R71" s="182">
        <v>2.5</v>
      </c>
      <c r="S71" s="697"/>
      <c r="T71" s="144">
        <v>10</v>
      </c>
      <c r="U71" s="183">
        <v>2.5</v>
      </c>
      <c r="V71" s="181">
        <v>2.5</v>
      </c>
      <c r="W71" s="181">
        <v>2.5</v>
      </c>
      <c r="X71" s="181">
        <v>2.5</v>
      </c>
      <c r="Y71" s="181">
        <v>2.5</v>
      </c>
      <c r="Z71" s="181">
        <v>2.5</v>
      </c>
      <c r="AA71" s="185">
        <v>2.4</v>
      </c>
      <c r="AB71" s="697"/>
      <c r="AC71" s="144">
        <v>10</v>
      </c>
      <c r="AD71" s="183">
        <v>2.5</v>
      </c>
      <c r="AE71" s="181">
        <v>2.5</v>
      </c>
      <c r="AF71" s="181">
        <v>2.5</v>
      </c>
      <c r="AG71" s="181">
        <v>2.5</v>
      </c>
      <c r="AH71" s="181">
        <v>2.5</v>
      </c>
      <c r="AI71" s="184">
        <v>2.4</v>
      </c>
      <c r="AJ71" s="185">
        <v>2.4</v>
      </c>
      <c r="AK71" s="140"/>
      <c r="AL71" s="697"/>
      <c r="AM71" s="144">
        <v>10</v>
      </c>
      <c r="AN71" s="242">
        <v>1.4</v>
      </c>
      <c r="AO71" s="243">
        <v>1.4</v>
      </c>
      <c r="AP71" s="243">
        <v>1.4</v>
      </c>
      <c r="AQ71" s="243">
        <v>1.4</v>
      </c>
      <c r="AR71" s="243">
        <v>1.4</v>
      </c>
      <c r="AS71" s="271">
        <v>1.3</v>
      </c>
      <c r="AT71" s="272">
        <v>1.3</v>
      </c>
      <c r="AU71" s="697"/>
      <c r="AV71" s="144">
        <v>10</v>
      </c>
      <c r="AW71" s="193">
        <v>1.1000000000000001</v>
      </c>
      <c r="AX71" s="194">
        <v>1.1000000000000001</v>
      </c>
      <c r="AY71" s="194">
        <v>1.1000000000000001</v>
      </c>
      <c r="AZ71" s="194">
        <v>1.1000000000000001</v>
      </c>
      <c r="BA71" s="194">
        <v>1.1000000000000001</v>
      </c>
      <c r="BB71" s="194">
        <v>1.1000000000000001</v>
      </c>
      <c r="BC71" s="265">
        <v>1.1000000000000001</v>
      </c>
      <c r="BD71" s="697"/>
      <c r="BE71" s="144">
        <v>10</v>
      </c>
      <c r="BF71" s="262">
        <v>1</v>
      </c>
      <c r="BG71" s="201">
        <v>1</v>
      </c>
      <c r="BH71" s="201">
        <v>1</v>
      </c>
      <c r="BI71" s="201">
        <v>1</v>
      </c>
      <c r="BJ71" s="201">
        <v>1</v>
      </c>
      <c r="BK71" s="201">
        <v>1</v>
      </c>
      <c r="BL71" s="195">
        <v>1</v>
      </c>
      <c r="BM71" s="697"/>
      <c r="BN71" s="144">
        <v>10</v>
      </c>
      <c r="BO71" s="196">
        <v>0.9</v>
      </c>
      <c r="BP71" s="245">
        <v>0.9</v>
      </c>
      <c r="BQ71" s="245">
        <v>0.9</v>
      </c>
      <c r="BR71" s="245">
        <v>0.9</v>
      </c>
      <c r="BS71" s="245">
        <v>0.9</v>
      </c>
      <c r="BT71" s="245">
        <v>0.9</v>
      </c>
      <c r="BU71" s="246">
        <v>0.9</v>
      </c>
    </row>
    <row r="72" spans="1:81">
      <c r="A72" s="697"/>
      <c r="B72" s="144">
        <v>12</v>
      </c>
      <c r="C72" s="237">
        <v>2.7</v>
      </c>
      <c r="D72" s="200">
        <v>2.7</v>
      </c>
      <c r="E72" s="200">
        <v>2.7</v>
      </c>
      <c r="F72" s="180">
        <v>2.6</v>
      </c>
      <c r="G72" s="180">
        <v>2.6</v>
      </c>
      <c r="H72" s="180">
        <v>2.6</v>
      </c>
      <c r="I72" s="238">
        <v>2.6</v>
      </c>
      <c r="J72" s="697"/>
      <c r="K72" s="144">
        <v>12</v>
      </c>
      <c r="L72" s="179">
        <v>2.6</v>
      </c>
      <c r="M72" s="180">
        <v>2.6</v>
      </c>
      <c r="N72" s="181">
        <v>2.5</v>
      </c>
      <c r="O72" s="181">
        <v>2.5</v>
      </c>
      <c r="P72" s="181">
        <v>2.5</v>
      </c>
      <c r="Q72" s="181">
        <v>2.5</v>
      </c>
      <c r="R72" s="182">
        <v>2.5</v>
      </c>
      <c r="S72" s="697"/>
      <c r="T72" s="144">
        <v>12</v>
      </c>
      <c r="U72" s="183">
        <v>2.5</v>
      </c>
      <c r="V72" s="181">
        <v>2.5</v>
      </c>
      <c r="W72" s="181">
        <v>2.5</v>
      </c>
      <c r="X72" s="181">
        <v>2.5</v>
      </c>
      <c r="Y72" s="181">
        <v>2.5</v>
      </c>
      <c r="Z72" s="181">
        <v>2.5</v>
      </c>
      <c r="AA72" s="185">
        <v>2.4</v>
      </c>
      <c r="AB72" s="697"/>
      <c r="AC72" s="144">
        <v>12</v>
      </c>
      <c r="AD72" s="183">
        <v>2.5</v>
      </c>
      <c r="AE72" s="181">
        <v>2.5</v>
      </c>
      <c r="AF72" s="181">
        <v>2.5</v>
      </c>
      <c r="AG72" s="181">
        <v>2.5</v>
      </c>
      <c r="AH72" s="184">
        <v>2.4</v>
      </c>
      <c r="AI72" s="184">
        <v>2.4</v>
      </c>
      <c r="AJ72" s="185">
        <v>2.4</v>
      </c>
      <c r="AK72" s="140"/>
      <c r="AL72" s="697"/>
      <c r="AM72" s="144">
        <v>12</v>
      </c>
      <c r="AN72" s="205"/>
      <c r="AO72" s="206"/>
      <c r="AP72" s="206"/>
      <c r="AQ72" s="206"/>
      <c r="AR72" s="206"/>
      <c r="AS72" s="206"/>
      <c r="AT72" s="207"/>
      <c r="AU72" s="697"/>
      <c r="AV72" s="144">
        <v>12</v>
      </c>
      <c r="AW72" s="205"/>
      <c r="AX72" s="206"/>
      <c r="AY72" s="206"/>
      <c r="AZ72" s="206"/>
      <c r="BA72" s="206"/>
      <c r="BB72" s="206"/>
      <c r="BC72" s="207"/>
      <c r="BD72" s="697"/>
      <c r="BE72" s="144">
        <v>12</v>
      </c>
      <c r="BF72" s="205"/>
      <c r="BG72" s="206"/>
      <c r="BH72" s="206"/>
      <c r="BI72" s="206"/>
      <c r="BJ72" s="206"/>
      <c r="BK72" s="206"/>
      <c r="BL72" s="207"/>
      <c r="BM72" s="697"/>
      <c r="BN72" s="144">
        <v>12</v>
      </c>
      <c r="BO72" s="205"/>
      <c r="BP72" s="206"/>
      <c r="BQ72" s="206"/>
      <c r="BR72" s="206"/>
      <c r="BS72" s="206"/>
      <c r="BT72" s="206"/>
      <c r="BU72" s="207"/>
    </row>
    <row r="73" spans="1:81">
      <c r="A73" s="697"/>
      <c r="B73" s="144">
        <v>15</v>
      </c>
      <c r="C73" s="237">
        <v>2.7</v>
      </c>
      <c r="D73" s="200">
        <v>2.7</v>
      </c>
      <c r="E73" s="180">
        <v>2.6</v>
      </c>
      <c r="F73" s="180">
        <v>2.6</v>
      </c>
      <c r="G73" s="180">
        <v>2.6</v>
      </c>
      <c r="H73" s="180">
        <v>2.6</v>
      </c>
      <c r="I73" s="238">
        <v>2.6</v>
      </c>
      <c r="J73" s="697"/>
      <c r="K73" s="144">
        <v>15</v>
      </c>
      <c r="L73" s="183">
        <v>2.5</v>
      </c>
      <c r="M73" s="181">
        <v>2.5</v>
      </c>
      <c r="N73" s="181">
        <v>2.5</v>
      </c>
      <c r="O73" s="181">
        <v>2.5</v>
      </c>
      <c r="P73" s="181">
        <v>2.5</v>
      </c>
      <c r="Q73" s="181">
        <v>2.5</v>
      </c>
      <c r="R73" s="182">
        <v>2.5</v>
      </c>
      <c r="S73" s="697"/>
      <c r="T73" s="144">
        <v>15</v>
      </c>
      <c r="U73" s="183">
        <v>2.5</v>
      </c>
      <c r="V73" s="181">
        <v>2.5</v>
      </c>
      <c r="W73" s="181">
        <v>2.5</v>
      </c>
      <c r="X73" s="181">
        <v>2.5</v>
      </c>
      <c r="Y73" s="181">
        <v>2.5</v>
      </c>
      <c r="Z73" s="184">
        <v>2.4</v>
      </c>
      <c r="AA73" s="185">
        <v>2.4</v>
      </c>
      <c r="AB73" s="697"/>
      <c r="AC73" s="144">
        <v>15</v>
      </c>
      <c r="AD73" s="183">
        <v>2.5</v>
      </c>
      <c r="AE73" s="181">
        <v>2.5</v>
      </c>
      <c r="AF73" s="184">
        <v>2.4</v>
      </c>
      <c r="AG73" s="184">
        <v>2.4</v>
      </c>
      <c r="AH73" s="184">
        <v>2.4</v>
      </c>
      <c r="AI73" s="184">
        <v>2.4</v>
      </c>
      <c r="AJ73" s="185">
        <v>2.4</v>
      </c>
      <c r="AK73" s="140"/>
      <c r="AL73" s="697"/>
      <c r="AM73" s="144">
        <v>15</v>
      </c>
      <c r="AN73" s="205"/>
      <c r="AO73" s="206"/>
      <c r="AP73" s="206"/>
      <c r="AQ73" s="206"/>
      <c r="AR73" s="206"/>
      <c r="AS73" s="206"/>
      <c r="AT73" s="207"/>
      <c r="AU73" s="697"/>
      <c r="AV73" s="144">
        <v>15</v>
      </c>
      <c r="AW73" s="205"/>
      <c r="AX73" s="206"/>
      <c r="AY73" s="206"/>
      <c r="AZ73" s="206"/>
      <c r="BA73" s="206"/>
      <c r="BB73" s="206"/>
      <c r="BC73" s="207"/>
      <c r="BD73" s="697"/>
      <c r="BE73" s="144">
        <v>15</v>
      </c>
      <c r="BF73" s="205"/>
      <c r="BG73" s="206"/>
      <c r="BH73" s="206"/>
      <c r="BI73" s="206"/>
      <c r="BJ73" s="206"/>
      <c r="BK73" s="206"/>
      <c r="BL73" s="207"/>
      <c r="BM73" s="697"/>
      <c r="BN73" s="144">
        <v>15</v>
      </c>
      <c r="BO73" s="205"/>
      <c r="BP73" s="206"/>
      <c r="BQ73" s="206"/>
      <c r="BR73" s="206"/>
      <c r="BS73" s="206"/>
      <c r="BT73" s="206"/>
      <c r="BU73" s="207"/>
    </row>
    <row r="74" spans="1:81" ht="13.5" thickBot="1">
      <c r="A74" s="697"/>
      <c r="B74" s="209">
        <v>19</v>
      </c>
      <c r="C74" s="263">
        <v>2.6</v>
      </c>
      <c r="D74" s="250">
        <v>2.6</v>
      </c>
      <c r="E74" s="250">
        <v>2.6</v>
      </c>
      <c r="F74" s="250">
        <v>2.6</v>
      </c>
      <c r="G74" s="250">
        <v>2.6</v>
      </c>
      <c r="H74" s="250">
        <v>2.6</v>
      </c>
      <c r="I74" s="251">
        <v>2.5</v>
      </c>
      <c r="J74" s="697"/>
      <c r="K74" s="209">
        <v>19</v>
      </c>
      <c r="L74" s="216">
        <v>2.5</v>
      </c>
      <c r="M74" s="217">
        <v>2.5</v>
      </c>
      <c r="N74" s="217">
        <v>2.5</v>
      </c>
      <c r="O74" s="217">
        <v>2.5</v>
      </c>
      <c r="P74" s="217">
        <v>2.5</v>
      </c>
      <c r="Q74" s="217">
        <v>2.5</v>
      </c>
      <c r="R74" s="219">
        <v>2.4</v>
      </c>
      <c r="S74" s="697"/>
      <c r="T74" s="209">
        <v>19</v>
      </c>
      <c r="U74" s="216">
        <v>2.5</v>
      </c>
      <c r="V74" s="217">
        <v>2.5</v>
      </c>
      <c r="W74" s="217">
        <v>2.5</v>
      </c>
      <c r="X74" s="218">
        <v>2.4</v>
      </c>
      <c r="Y74" s="218">
        <v>2.4</v>
      </c>
      <c r="Z74" s="218">
        <v>2.4</v>
      </c>
      <c r="AA74" s="219">
        <v>2.4</v>
      </c>
      <c r="AB74" s="697"/>
      <c r="AC74" s="209">
        <v>19</v>
      </c>
      <c r="AD74" s="220">
        <v>2.4</v>
      </c>
      <c r="AE74" s="218">
        <v>2.4</v>
      </c>
      <c r="AF74" s="218">
        <v>2.4</v>
      </c>
      <c r="AG74" s="218">
        <v>2.4</v>
      </c>
      <c r="AH74" s="218">
        <v>2.4</v>
      </c>
      <c r="AI74" s="218">
        <v>2.4</v>
      </c>
      <c r="AJ74" s="219">
        <v>2.4</v>
      </c>
      <c r="AK74" s="140"/>
      <c r="AL74" s="697"/>
      <c r="AM74" s="209">
        <v>19</v>
      </c>
      <c r="AN74" s="222"/>
      <c r="AO74" s="223"/>
      <c r="AP74" s="223"/>
      <c r="AQ74" s="223"/>
      <c r="AR74" s="223"/>
      <c r="AS74" s="223"/>
      <c r="AT74" s="224"/>
      <c r="AU74" s="697"/>
      <c r="AV74" s="209">
        <v>19</v>
      </c>
      <c r="AW74" s="222"/>
      <c r="AX74" s="223"/>
      <c r="AY74" s="223"/>
      <c r="AZ74" s="223"/>
      <c r="BA74" s="223"/>
      <c r="BB74" s="223"/>
      <c r="BC74" s="224"/>
      <c r="BD74" s="697"/>
      <c r="BE74" s="209">
        <v>19</v>
      </c>
      <c r="BF74" s="222"/>
      <c r="BG74" s="223"/>
      <c r="BH74" s="223"/>
      <c r="BI74" s="223"/>
      <c r="BJ74" s="223"/>
      <c r="BK74" s="223"/>
      <c r="BL74" s="224"/>
      <c r="BM74" s="697"/>
      <c r="BN74" s="209">
        <v>19</v>
      </c>
      <c r="BO74" s="222"/>
      <c r="BP74" s="223"/>
      <c r="BQ74" s="223"/>
      <c r="BR74" s="223"/>
      <c r="BS74" s="223"/>
      <c r="BT74" s="223"/>
      <c r="BU74" s="224"/>
    </row>
    <row r="75" spans="1:81" ht="13.5" thickBot="1">
      <c r="C75" s="696" t="s">
        <v>6</v>
      </c>
      <c r="D75" s="696"/>
      <c r="E75" s="696"/>
      <c r="F75" s="696"/>
      <c r="G75" s="696"/>
      <c r="H75" s="696"/>
      <c r="I75" s="696"/>
      <c r="L75" s="696" t="s">
        <v>6</v>
      </c>
      <c r="M75" s="696"/>
      <c r="N75" s="696"/>
      <c r="O75" s="696"/>
      <c r="P75" s="696"/>
      <c r="Q75" s="696"/>
      <c r="R75" s="696"/>
      <c r="U75" s="696" t="s">
        <v>6</v>
      </c>
      <c r="V75" s="696"/>
      <c r="W75" s="696"/>
      <c r="X75" s="696"/>
      <c r="Y75" s="696"/>
      <c r="Z75" s="696"/>
      <c r="AA75" s="696"/>
      <c r="AD75" s="696" t="s">
        <v>6</v>
      </c>
      <c r="AE75" s="696"/>
      <c r="AF75" s="696"/>
      <c r="AG75" s="696"/>
      <c r="AH75" s="696"/>
      <c r="AI75" s="696"/>
      <c r="AJ75" s="696"/>
      <c r="AK75" s="140"/>
      <c r="AN75" s="696" t="s">
        <v>6</v>
      </c>
      <c r="AO75" s="696"/>
      <c r="AP75" s="696"/>
      <c r="AQ75" s="696"/>
      <c r="AR75" s="696"/>
      <c r="AS75" s="696"/>
      <c r="AT75" s="696"/>
      <c r="AW75" s="696" t="s">
        <v>6</v>
      </c>
      <c r="AX75" s="696"/>
      <c r="AY75" s="696"/>
      <c r="AZ75" s="696"/>
      <c r="BA75" s="696"/>
      <c r="BB75" s="696"/>
      <c r="BC75" s="696"/>
      <c r="BF75" s="696" t="s">
        <v>6</v>
      </c>
      <c r="BG75" s="696"/>
      <c r="BH75" s="696"/>
      <c r="BI75" s="696"/>
      <c r="BJ75" s="696"/>
      <c r="BK75" s="696"/>
      <c r="BL75" s="696"/>
      <c r="BO75" s="696" t="s">
        <v>6</v>
      </c>
      <c r="BP75" s="696"/>
      <c r="BQ75" s="696"/>
      <c r="BR75" s="696"/>
      <c r="BS75" s="696"/>
      <c r="BT75" s="696"/>
      <c r="BU75" s="696"/>
    </row>
    <row r="76" spans="1:81" ht="13.5" thickBot="1">
      <c r="B76" s="141">
        <v>20</v>
      </c>
      <c r="C76" s="142">
        <v>4</v>
      </c>
      <c r="D76" s="142">
        <v>6</v>
      </c>
      <c r="E76" s="142">
        <v>8</v>
      </c>
      <c r="F76" s="142">
        <v>10</v>
      </c>
      <c r="G76" s="142">
        <v>12</v>
      </c>
      <c r="H76" s="142">
        <v>15</v>
      </c>
      <c r="I76" s="143">
        <v>19</v>
      </c>
      <c r="K76" s="141">
        <v>20</v>
      </c>
      <c r="L76" s="142">
        <v>4</v>
      </c>
      <c r="M76" s="142">
        <v>6</v>
      </c>
      <c r="N76" s="142">
        <v>8</v>
      </c>
      <c r="O76" s="142">
        <v>10</v>
      </c>
      <c r="P76" s="142">
        <v>12</v>
      </c>
      <c r="Q76" s="142">
        <v>15</v>
      </c>
      <c r="R76" s="143">
        <v>19</v>
      </c>
      <c r="T76" s="141">
        <v>20</v>
      </c>
      <c r="U76" s="142">
        <v>4</v>
      </c>
      <c r="V76" s="142">
        <v>6</v>
      </c>
      <c r="W76" s="142">
        <v>8</v>
      </c>
      <c r="X76" s="142">
        <v>10</v>
      </c>
      <c r="Y76" s="142">
        <v>12</v>
      </c>
      <c r="Z76" s="142">
        <v>15</v>
      </c>
      <c r="AA76" s="143">
        <v>19</v>
      </c>
      <c r="AC76" s="141">
        <v>20</v>
      </c>
      <c r="AD76" s="142">
        <v>4</v>
      </c>
      <c r="AE76" s="142">
        <v>6</v>
      </c>
      <c r="AF76" s="142">
        <v>8</v>
      </c>
      <c r="AG76" s="142">
        <v>10</v>
      </c>
      <c r="AH76" s="142">
        <v>12</v>
      </c>
      <c r="AI76" s="142">
        <v>15</v>
      </c>
      <c r="AJ76" s="143">
        <v>19</v>
      </c>
      <c r="AK76" s="140"/>
      <c r="AM76" s="141">
        <v>20</v>
      </c>
      <c r="AN76" s="142">
        <v>4</v>
      </c>
      <c r="AO76" s="142">
        <v>6</v>
      </c>
      <c r="AP76" s="142">
        <v>8</v>
      </c>
      <c r="AQ76" s="142">
        <v>10</v>
      </c>
      <c r="AR76" s="142">
        <v>12</v>
      </c>
      <c r="AS76" s="142">
        <v>15</v>
      </c>
      <c r="AT76" s="143">
        <v>19</v>
      </c>
      <c r="AV76" s="141">
        <v>20</v>
      </c>
      <c r="AW76" s="142">
        <v>4</v>
      </c>
      <c r="AX76" s="142">
        <v>6</v>
      </c>
      <c r="AY76" s="142">
        <v>8</v>
      </c>
      <c r="AZ76" s="142">
        <v>10</v>
      </c>
      <c r="BA76" s="142">
        <v>12</v>
      </c>
      <c r="BB76" s="142">
        <v>15</v>
      </c>
      <c r="BC76" s="143">
        <v>19</v>
      </c>
      <c r="BE76" s="141">
        <v>20</v>
      </c>
      <c r="BF76" s="142">
        <v>4</v>
      </c>
      <c r="BG76" s="142">
        <v>6</v>
      </c>
      <c r="BH76" s="142">
        <v>8</v>
      </c>
      <c r="BI76" s="142">
        <v>10</v>
      </c>
      <c r="BJ76" s="142">
        <v>12</v>
      </c>
      <c r="BK76" s="142">
        <v>15</v>
      </c>
      <c r="BL76" s="143">
        <v>19</v>
      </c>
      <c r="BN76" s="141">
        <v>20</v>
      </c>
      <c r="BO76" s="142">
        <v>4</v>
      </c>
      <c r="BP76" s="142">
        <v>6</v>
      </c>
      <c r="BQ76" s="142">
        <v>8</v>
      </c>
      <c r="BR76" s="142">
        <v>10</v>
      </c>
      <c r="BS76" s="142">
        <v>12</v>
      </c>
      <c r="BT76" s="142">
        <v>15</v>
      </c>
      <c r="BU76" s="143">
        <v>19</v>
      </c>
    </row>
    <row r="77" spans="1:81" ht="15" customHeight="1">
      <c r="A77" s="697" t="s">
        <v>5</v>
      </c>
      <c r="B77" s="144">
        <v>4</v>
      </c>
      <c r="C77" s="227">
        <v>2.8</v>
      </c>
      <c r="D77" s="228">
        <v>2.7</v>
      </c>
      <c r="E77" s="228">
        <v>2.7</v>
      </c>
      <c r="F77" s="228">
        <v>2.7</v>
      </c>
      <c r="G77" s="228">
        <v>2.7</v>
      </c>
      <c r="H77" s="228">
        <v>2.7</v>
      </c>
      <c r="I77" s="253">
        <v>2.6</v>
      </c>
      <c r="J77" s="697" t="s">
        <v>5</v>
      </c>
      <c r="K77" s="144">
        <v>4</v>
      </c>
      <c r="L77" s="151">
        <v>2.6</v>
      </c>
      <c r="M77" s="152">
        <v>2.6</v>
      </c>
      <c r="N77" s="152">
        <v>2.6</v>
      </c>
      <c r="O77" s="152">
        <v>2.6</v>
      </c>
      <c r="P77" s="152">
        <v>2.6</v>
      </c>
      <c r="Q77" s="152">
        <v>2.6</v>
      </c>
      <c r="R77" s="154">
        <v>2.5</v>
      </c>
      <c r="S77" s="697" t="s">
        <v>5</v>
      </c>
      <c r="T77" s="144">
        <v>4</v>
      </c>
      <c r="U77" s="151">
        <v>2.6</v>
      </c>
      <c r="V77" s="152">
        <v>2.6</v>
      </c>
      <c r="W77" s="152">
        <v>2.6</v>
      </c>
      <c r="X77" s="153">
        <v>2.5</v>
      </c>
      <c r="Y77" s="153">
        <v>2.5</v>
      </c>
      <c r="Z77" s="153">
        <v>2.5</v>
      </c>
      <c r="AA77" s="154">
        <v>2.5</v>
      </c>
      <c r="AB77" s="697" t="s">
        <v>5</v>
      </c>
      <c r="AC77" s="144">
        <v>4</v>
      </c>
      <c r="AD77" s="155">
        <v>2.5</v>
      </c>
      <c r="AE77" s="153">
        <v>2.5</v>
      </c>
      <c r="AF77" s="153">
        <v>2.5</v>
      </c>
      <c r="AG77" s="153">
        <v>2.5</v>
      </c>
      <c r="AH77" s="153">
        <v>2.5</v>
      </c>
      <c r="AI77" s="153">
        <v>2.5</v>
      </c>
      <c r="AJ77" s="154">
        <v>2.5</v>
      </c>
      <c r="AK77" s="140"/>
      <c r="AL77" s="697" t="s">
        <v>5</v>
      </c>
      <c r="AM77" s="144">
        <v>4</v>
      </c>
      <c r="AN77" s="232">
        <v>1.4</v>
      </c>
      <c r="AO77" s="233">
        <v>1.4</v>
      </c>
      <c r="AP77" s="233">
        <v>1.4</v>
      </c>
      <c r="AQ77" s="233">
        <v>1.4</v>
      </c>
      <c r="AR77" s="233">
        <v>1.4</v>
      </c>
      <c r="AS77" s="233">
        <v>1.4</v>
      </c>
      <c r="AT77" s="234">
        <v>1.4</v>
      </c>
      <c r="AU77" s="697" t="s">
        <v>5</v>
      </c>
      <c r="AV77" s="144">
        <v>4</v>
      </c>
      <c r="AW77" s="165">
        <v>1.1000000000000001</v>
      </c>
      <c r="AX77" s="166">
        <v>1.1000000000000001</v>
      </c>
      <c r="AY77" s="166">
        <v>1.1000000000000001</v>
      </c>
      <c r="AZ77" s="166">
        <v>1.1000000000000001</v>
      </c>
      <c r="BA77" s="166">
        <v>1.1000000000000001</v>
      </c>
      <c r="BB77" s="166">
        <v>1.1000000000000001</v>
      </c>
      <c r="BC77" s="264">
        <v>1.1000000000000001</v>
      </c>
      <c r="BD77" s="697" t="s">
        <v>5</v>
      </c>
      <c r="BE77" s="144">
        <v>4</v>
      </c>
      <c r="BF77" s="257">
        <v>1</v>
      </c>
      <c r="BG77" s="258">
        <v>1</v>
      </c>
      <c r="BH77" s="258">
        <v>1</v>
      </c>
      <c r="BI77" s="258">
        <v>1</v>
      </c>
      <c r="BJ77" s="258">
        <v>1</v>
      </c>
      <c r="BK77" s="258">
        <v>1</v>
      </c>
      <c r="BL77" s="167">
        <v>1</v>
      </c>
      <c r="BM77" s="697" t="s">
        <v>5</v>
      </c>
      <c r="BN77" s="144">
        <v>4</v>
      </c>
      <c r="BO77" s="168">
        <v>0.9</v>
      </c>
      <c r="BP77" s="169">
        <v>0.9</v>
      </c>
      <c r="BQ77" s="169">
        <v>0.9</v>
      </c>
      <c r="BR77" s="169">
        <v>0.9</v>
      </c>
      <c r="BS77" s="169">
        <v>0.9</v>
      </c>
      <c r="BT77" s="169">
        <v>0.9</v>
      </c>
      <c r="BU77" s="235">
        <v>0.9</v>
      </c>
    </row>
    <row r="78" spans="1:81">
      <c r="A78" s="697"/>
      <c r="B78" s="144">
        <v>6</v>
      </c>
      <c r="C78" s="237">
        <v>2.7</v>
      </c>
      <c r="D78" s="200">
        <v>2.7</v>
      </c>
      <c r="E78" s="200">
        <v>2.7</v>
      </c>
      <c r="F78" s="200">
        <v>2.7</v>
      </c>
      <c r="G78" s="200">
        <v>2.7</v>
      </c>
      <c r="H78" s="200">
        <v>2.7</v>
      </c>
      <c r="I78" s="238">
        <v>2.6</v>
      </c>
      <c r="J78" s="697"/>
      <c r="K78" s="144">
        <v>6</v>
      </c>
      <c r="L78" s="179">
        <v>2.6</v>
      </c>
      <c r="M78" s="180">
        <v>2.6</v>
      </c>
      <c r="N78" s="180">
        <v>2.6</v>
      </c>
      <c r="O78" s="180">
        <v>2.6</v>
      </c>
      <c r="P78" s="180">
        <v>2.6</v>
      </c>
      <c r="Q78" s="181">
        <v>2.5</v>
      </c>
      <c r="R78" s="182">
        <v>2.5</v>
      </c>
      <c r="S78" s="697"/>
      <c r="T78" s="144">
        <v>6</v>
      </c>
      <c r="U78" s="179">
        <v>2.6</v>
      </c>
      <c r="V78" s="180">
        <v>2.6</v>
      </c>
      <c r="W78" s="181">
        <v>2.5</v>
      </c>
      <c r="X78" s="181">
        <v>2.5</v>
      </c>
      <c r="Y78" s="181">
        <v>2.5</v>
      </c>
      <c r="Z78" s="181">
        <v>2.5</v>
      </c>
      <c r="AA78" s="182">
        <v>2.5</v>
      </c>
      <c r="AB78" s="697"/>
      <c r="AC78" s="144">
        <v>6</v>
      </c>
      <c r="AD78" s="183">
        <v>2.5</v>
      </c>
      <c r="AE78" s="181">
        <v>2.5</v>
      </c>
      <c r="AF78" s="181">
        <v>2.5</v>
      </c>
      <c r="AG78" s="181">
        <v>2.5</v>
      </c>
      <c r="AH78" s="181">
        <v>2.5</v>
      </c>
      <c r="AI78" s="181">
        <v>2.5</v>
      </c>
      <c r="AJ78" s="185">
        <v>2.4</v>
      </c>
      <c r="AK78" s="140"/>
      <c r="AL78" s="697"/>
      <c r="AM78" s="144">
        <v>6</v>
      </c>
      <c r="AN78" s="242">
        <v>1.4</v>
      </c>
      <c r="AO78" s="243">
        <v>1.4</v>
      </c>
      <c r="AP78" s="243">
        <v>1.4</v>
      </c>
      <c r="AQ78" s="243">
        <v>1.4</v>
      </c>
      <c r="AR78" s="243">
        <v>1.4</v>
      </c>
      <c r="AS78" s="243">
        <v>1.4</v>
      </c>
      <c r="AT78" s="244">
        <v>1.4</v>
      </c>
      <c r="AU78" s="697"/>
      <c r="AV78" s="144">
        <v>6</v>
      </c>
      <c r="AW78" s="193">
        <v>1.1000000000000001</v>
      </c>
      <c r="AX78" s="194">
        <v>1.1000000000000001</v>
      </c>
      <c r="AY78" s="194">
        <v>1.1000000000000001</v>
      </c>
      <c r="AZ78" s="194">
        <v>1.1000000000000001</v>
      </c>
      <c r="BA78" s="194">
        <v>1.1000000000000001</v>
      </c>
      <c r="BB78" s="194">
        <v>1.1000000000000001</v>
      </c>
      <c r="BC78" s="265">
        <v>1.1000000000000001</v>
      </c>
      <c r="BD78" s="697"/>
      <c r="BE78" s="144">
        <v>6</v>
      </c>
      <c r="BF78" s="262">
        <v>1</v>
      </c>
      <c r="BG78" s="201">
        <v>1</v>
      </c>
      <c r="BH78" s="201">
        <v>1</v>
      </c>
      <c r="BI78" s="201">
        <v>1</v>
      </c>
      <c r="BJ78" s="201">
        <v>1</v>
      </c>
      <c r="BK78" s="201">
        <v>1</v>
      </c>
      <c r="BL78" s="195">
        <v>1</v>
      </c>
      <c r="BM78" s="697"/>
      <c r="BN78" s="144">
        <v>6</v>
      </c>
      <c r="BO78" s="196">
        <v>0.9</v>
      </c>
      <c r="BP78" s="245">
        <v>0.9</v>
      </c>
      <c r="BQ78" s="245">
        <v>0.9</v>
      </c>
      <c r="BR78" s="245">
        <v>0.9</v>
      </c>
      <c r="BS78" s="245">
        <v>0.9</v>
      </c>
      <c r="BT78" s="245">
        <v>0.9</v>
      </c>
      <c r="BU78" s="246">
        <v>0.9</v>
      </c>
    </row>
    <row r="79" spans="1:81">
      <c r="A79" s="697"/>
      <c r="B79" s="144">
        <v>8</v>
      </c>
      <c r="C79" s="237">
        <v>2.7</v>
      </c>
      <c r="D79" s="200">
        <v>2.7</v>
      </c>
      <c r="E79" s="200">
        <v>2.7</v>
      </c>
      <c r="F79" s="200">
        <v>2.7</v>
      </c>
      <c r="G79" s="200">
        <v>2.7</v>
      </c>
      <c r="H79" s="180">
        <v>2.6</v>
      </c>
      <c r="I79" s="238">
        <v>2.6</v>
      </c>
      <c r="J79" s="697"/>
      <c r="K79" s="144">
        <v>8</v>
      </c>
      <c r="L79" s="179">
        <v>2.6</v>
      </c>
      <c r="M79" s="180">
        <v>2.6</v>
      </c>
      <c r="N79" s="180">
        <v>2.6</v>
      </c>
      <c r="O79" s="180">
        <v>2.6</v>
      </c>
      <c r="P79" s="181">
        <v>2.5</v>
      </c>
      <c r="Q79" s="181">
        <v>2.5</v>
      </c>
      <c r="R79" s="182">
        <v>2.5</v>
      </c>
      <c r="S79" s="697"/>
      <c r="T79" s="144">
        <v>8</v>
      </c>
      <c r="U79" s="179">
        <v>2.6</v>
      </c>
      <c r="V79" s="181">
        <v>2.5</v>
      </c>
      <c r="W79" s="181">
        <v>2.5</v>
      </c>
      <c r="X79" s="181">
        <v>2.5</v>
      </c>
      <c r="Y79" s="181">
        <v>2.5</v>
      </c>
      <c r="Z79" s="181">
        <v>2.5</v>
      </c>
      <c r="AA79" s="182">
        <v>2.5</v>
      </c>
      <c r="AB79" s="697"/>
      <c r="AC79" s="144">
        <v>8</v>
      </c>
      <c r="AD79" s="183">
        <v>2.5</v>
      </c>
      <c r="AE79" s="181">
        <v>2.5</v>
      </c>
      <c r="AF79" s="181">
        <v>2.5</v>
      </c>
      <c r="AG79" s="181">
        <v>2.5</v>
      </c>
      <c r="AH79" s="181">
        <v>2.5</v>
      </c>
      <c r="AI79" s="181">
        <v>2.5</v>
      </c>
      <c r="AJ79" s="185">
        <v>2.4</v>
      </c>
      <c r="AK79" s="140"/>
      <c r="AL79" s="697"/>
      <c r="AM79" s="144">
        <v>8</v>
      </c>
      <c r="AN79" s="242">
        <v>1.4</v>
      </c>
      <c r="AO79" s="243">
        <v>1.4</v>
      </c>
      <c r="AP79" s="243">
        <v>1.4</v>
      </c>
      <c r="AQ79" s="243">
        <v>1.4</v>
      </c>
      <c r="AR79" s="243">
        <v>1.4</v>
      </c>
      <c r="AS79" s="243">
        <v>1.4</v>
      </c>
      <c r="AT79" s="244">
        <v>1.4</v>
      </c>
      <c r="AU79" s="697"/>
      <c r="AV79" s="144">
        <v>8</v>
      </c>
      <c r="AW79" s="193">
        <v>1.1000000000000001</v>
      </c>
      <c r="AX79" s="194">
        <v>1.1000000000000001</v>
      </c>
      <c r="AY79" s="194">
        <v>1.1000000000000001</v>
      </c>
      <c r="AZ79" s="194">
        <v>1.1000000000000001</v>
      </c>
      <c r="BA79" s="194">
        <v>1.1000000000000001</v>
      </c>
      <c r="BB79" s="194">
        <v>1.1000000000000001</v>
      </c>
      <c r="BC79" s="265">
        <v>1.1000000000000001</v>
      </c>
      <c r="BD79" s="697"/>
      <c r="BE79" s="144">
        <v>8</v>
      </c>
      <c r="BF79" s="262">
        <v>1</v>
      </c>
      <c r="BG79" s="201">
        <v>1</v>
      </c>
      <c r="BH79" s="201">
        <v>1</v>
      </c>
      <c r="BI79" s="201">
        <v>1</v>
      </c>
      <c r="BJ79" s="201">
        <v>1</v>
      </c>
      <c r="BK79" s="201">
        <v>1</v>
      </c>
      <c r="BL79" s="195">
        <v>1</v>
      </c>
      <c r="BM79" s="697"/>
      <c r="BN79" s="144">
        <v>8</v>
      </c>
      <c r="BO79" s="196">
        <v>0.9</v>
      </c>
      <c r="BP79" s="245">
        <v>0.9</v>
      </c>
      <c r="BQ79" s="245">
        <v>0.9</v>
      </c>
      <c r="BR79" s="245">
        <v>0.9</v>
      </c>
      <c r="BS79" s="245">
        <v>0.9</v>
      </c>
      <c r="BT79" s="245">
        <v>0.9</v>
      </c>
      <c r="BU79" s="246">
        <v>0.9</v>
      </c>
    </row>
    <row r="80" spans="1:81">
      <c r="A80" s="697"/>
      <c r="B80" s="144">
        <v>10</v>
      </c>
      <c r="C80" s="237">
        <v>2.7</v>
      </c>
      <c r="D80" s="200">
        <v>2.7</v>
      </c>
      <c r="E80" s="200">
        <v>2.7</v>
      </c>
      <c r="F80" s="200">
        <v>2.7</v>
      </c>
      <c r="G80" s="200">
        <v>2.7</v>
      </c>
      <c r="H80" s="180">
        <v>2.6</v>
      </c>
      <c r="I80" s="238">
        <v>2.6</v>
      </c>
      <c r="J80" s="697"/>
      <c r="K80" s="144">
        <v>10</v>
      </c>
      <c r="L80" s="179">
        <v>2.6</v>
      </c>
      <c r="M80" s="180">
        <v>2.6</v>
      </c>
      <c r="N80" s="180">
        <v>2.6</v>
      </c>
      <c r="O80" s="181">
        <v>2.5</v>
      </c>
      <c r="P80" s="181">
        <v>2.5</v>
      </c>
      <c r="Q80" s="181">
        <v>2.5</v>
      </c>
      <c r="R80" s="182">
        <v>2.5</v>
      </c>
      <c r="S80" s="697"/>
      <c r="T80" s="144">
        <v>10</v>
      </c>
      <c r="U80" s="183">
        <v>2.5</v>
      </c>
      <c r="V80" s="181">
        <v>2.5</v>
      </c>
      <c r="W80" s="181">
        <v>2.5</v>
      </c>
      <c r="X80" s="181">
        <v>2.5</v>
      </c>
      <c r="Y80" s="181">
        <v>2.5</v>
      </c>
      <c r="Z80" s="181">
        <v>2.5</v>
      </c>
      <c r="AA80" s="185">
        <v>2.4</v>
      </c>
      <c r="AB80" s="697"/>
      <c r="AC80" s="144">
        <v>10</v>
      </c>
      <c r="AD80" s="183">
        <v>2.5</v>
      </c>
      <c r="AE80" s="181">
        <v>2.5</v>
      </c>
      <c r="AF80" s="181">
        <v>2.5</v>
      </c>
      <c r="AG80" s="181">
        <v>2.5</v>
      </c>
      <c r="AH80" s="181">
        <v>2.5</v>
      </c>
      <c r="AI80" s="184">
        <v>2.4</v>
      </c>
      <c r="AJ80" s="185">
        <v>2.4</v>
      </c>
      <c r="AK80" s="140"/>
      <c r="AL80" s="697"/>
      <c r="AM80" s="144">
        <v>10</v>
      </c>
      <c r="AN80" s="242">
        <v>1.4</v>
      </c>
      <c r="AO80" s="243">
        <v>1.4</v>
      </c>
      <c r="AP80" s="243">
        <v>1.4</v>
      </c>
      <c r="AQ80" s="243">
        <v>1.4</v>
      </c>
      <c r="AR80" s="243">
        <v>1.4</v>
      </c>
      <c r="AS80" s="243">
        <v>1.4</v>
      </c>
      <c r="AT80" s="244">
        <v>1.4</v>
      </c>
      <c r="AU80" s="697"/>
      <c r="AV80" s="144">
        <v>10</v>
      </c>
      <c r="AW80" s="193">
        <v>1.1000000000000001</v>
      </c>
      <c r="AX80" s="194">
        <v>1.1000000000000001</v>
      </c>
      <c r="AY80" s="194">
        <v>1.1000000000000001</v>
      </c>
      <c r="AZ80" s="194">
        <v>1.1000000000000001</v>
      </c>
      <c r="BA80" s="194">
        <v>1.1000000000000001</v>
      </c>
      <c r="BB80" s="194">
        <v>1.1000000000000001</v>
      </c>
      <c r="BC80" s="265">
        <v>1.1000000000000001</v>
      </c>
      <c r="BD80" s="697"/>
      <c r="BE80" s="144">
        <v>10</v>
      </c>
      <c r="BF80" s="262">
        <v>1</v>
      </c>
      <c r="BG80" s="201">
        <v>1</v>
      </c>
      <c r="BH80" s="201">
        <v>1</v>
      </c>
      <c r="BI80" s="201">
        <v>1</v>
      </c>
      <c r="BJ80" s="201">
        <v>1</v>
      </c>
      <c r="BK80" s="201">
        <v>1</v>
      </c>
      <c r="BL80" s="195">
        <v>1</v>
      </c>
      <c r="BM80" s="697"/>
      <c r="BN80" s="144">
        <v>10</v>
      </c>
      <c r="BO80" s="196">
        <v>0.9</v>
      </c>
      <c r="BP80" s="245">
        <v>0.9</v>
      </c>
      <c r="BQ80" s="245">
        <v>0.9</v>
      </c>
      <c r="BR80" s="245">
        <v>0.9</v>
      </c>
      <c r="BS80" s="245">
        <v>0.9</v>
      </c>
      <c r="BT80" s="245">
        <v>0.9</v>
      </c>
      <c r="BU80" s="246">
        <v>0.9</v>
      </c>
    </row>
    <row r="81" spans="1:73">
      <c r="A81" s="697"/>
      <c r="B81" s="144">
        <v>12</v>
      </c>
      <c r="C81" s="237">
        <v>2.7</v>
      </c>
      <c r="D81" s="200">
        <v>2.7</v>
      </c>
      <c r="E81" s="200">
        <v>2.7</v>
      </c>
      <c r="F81" s="200">
        <v>2.7</v>
      </c>
      <c r="G81" s="180">
        <v>2.6</v>
      </c>
      <c r="H81" s="180">
        <v>2.6</v>
      </c>
      <c r="I81" s="238">
        <v>2.6</v>
      </c>
      <c r="J81" s="697"/>
      <c r="K81" s="144">
        <v>12</v>
      </c>
      <c r="L81" s="179">
        <v>2.6</v>
      </c>
      <c r="M81" s="180">
        <v>2.6</v>
      </c>
      <c r="N81" s="181">
        <v>2.5</v>
      </c>
      <c r="O81" s="181">
        <v>2.5</v>
      </c>
      <c r="P81" s="181">
        <v>2.5</v>
      </c>
      <c r="Q81" s="181">
        <v>2.5</v>
      </c>
      <c r="R81" s="182">
        <v>2.5</v>
      </c>
      <c r="S81" s="697"/>
      <c r="T81" s="144">
        <v>12</v>
      </c>
      <c r="U81" s="183">
        <v>2.5</v>
      </c>
      <c r="V81" s="181">
        <v>2.5</v>
      </c>
      <c r="W81" s="181">
        <v>2.5</v>
      </c>
      <c r="X81" s="181">
        <v>2.5</v>
      </c>
      <c r="Y81" s="181">
        <v>2.5</v>
      </c>
      <c r="Z81" s="181">
        <v>2.5</v>
      </c>
      <c r="AA81" s="185">
        <v>2.4</v>
      </c>
      <c r="AB81" s="697"/>
      <c r="AC81" s="144">
        <v>12</v>
      </c>
      <c r="AD81" s="183">
        <v>2.5</v>
      </c>
      <c r="AE81" s="181">
        <v>2.5</v>
      </c>
      <c r="AF81" s="181">
        <v>2.5</v>
      </c>
      <c r="AG81" s="181">
        <v>2.5</v>
      </c>
      <c r="AH81" s="184">
        <v>2.4</v>
      </c>
      <c r="AI81" s="184">
        <v>2.4</v>
      </c>
      <c r="AJ81" s="185">
        <v>2.4</v>
      </c>
      <c r="AK81" s="140"/>
      <c r="AL81" s="697"/>
      <c r="AM81" s="144">
        <v>12</v>
      </c>
      <c r="AN81" s="205"/>
      <c r="AO81" s="206"/>
      <c r="AP81" s="206"/>
      <c r="AQ81" s="206"/>
      <c r="AR81" s="206"/>
      <c r="AS81" s="206"/>
      <c r="AT81" s="207"/>
      <c r="AU81" s="697"/>
      <c r="AV81" s="144">
        <v>12</v>
      </c>
      <c r="AW81" s="205"/>
      <c r="AX81" s="206"/>
      <c r="AY81" s="206"/>
      <c r="AZ81" s="206"/>
      <c r="BA81" s="206"/>
      <c r="BB81" s="206"/>
      <c r="BC81" s="207"/>
      <c r="BD81" s="697"/>
      <c r="BE81" s="144">
        <v>12</v>
      </c>
      <c r="BF81" s="205"/>
      <c r="BG81" s="206"/>
      <c r="BH81" s="206"/>
      <c r="BI81" s="206"/>
      <c r="BJ81" s="206"/>
      <c r="BK81" s="206"/>
      <c r="BL81" s="207"/>
      <c r="BM81" s="697"/>
      <c r="BN81" s="144">
        <v>12</v>
      </c>
      <c r="BO81" s="205"/>
      <c r="BP81" s="206"/>
      <c r="BQ81" s="206"/>
      <c r="BR81" s="206"/>
      <c r="BS81" s="206"/>
      <c r="BT81" s="206"/>
      <c r="BU81" s="207"/>
    </row>
    <row r="82" spans="1:73">
      <c r="A82" s="697"/>
      <c r="B82" s="144">
        <v>15</v>
      </c>
      <c r="C82" s="237">
        <v>2.7</v>
      </c>
      <c r="D82" s="200">
        <v>2.7</v>
      </c>
      <c r="E82" s="180">
        <v>2.6</v>
      </c>
      <c r="F82" s="180">
        <v>2.6</v>
      </c>
      <c r="G82" s="180">
        <v>2.6</v>
      </c>
      <c r="H82" s="180">
        <v>2.6</v>
      </c>
      <c r="I82" s="238">
        <v>2.6</v>
      </c>
      <c r="J82" s="697"/>
      <c r="K82" s="144">
        <v>15</v>
      </c>
      <c r="L82" s="179">
        <v>2.6</v>
      </c>
      <c r="M82" s="181">
        <v>2.5</v>
      </c>
      <c r="N82" s="181">
        <v>2.5</v>
      </c>
      <c r="O82" s="181">
        <v>2.5</v>
      </c>
      <c r="P82" s="181">
        <v>2.5</v>
      </c>
      <c r="Q82" s="181">
        <v>2.5</v>
      </c>
      <c r="R82" s="182">
        <v>2.5</v>
      </c>
      <c r="S82" s="697"/>
      <c r="T82" s="144">
        <v>15</v>
      </c>
      <c r="U82" s="183">
        <v>2.5</v>
      </c>
      <c r="V82" s="181">
        <v>2.5</v>
      </c>
      <c r="W82" s="181">
        <v>2.5</v>
      </c>
      <c r="X82" s="181">
        <v>2.5</v>
      </c>
      <c r="Y82" s="181">
        <v>2.5</v>
      </c>
      <c r="Z82" s="184">
        <v>2.4</v>
      </c>
      <c r="AA82" s="185">
        <v>2.4</v>
      </c>
      <c r="AB82" s="697"/>
      <c r="AC82" s="144">
        <v>15</v>
      </c>
      <c r="AD82" s="183">
        <v>2.5</v>
      </c>
      <c r="AE82" s="181">
        <v>2.5</v>
      </c>
      <c r="AF82" s="181">
        <v>2.5</v>
      </c>
      <c r="AG82" s="184">
        <v>2.4</v>
      </c>
      <c r="AH82" s="184">
        <v>2.4</v>
      </c>
      <c r="AI82" s="184">
        <v>2.4</v>
      </c>
      <c r="AJ82" s="185">
        <v>2.4</v>
      </c>
      <c r="AK82" s="140"/>
      <c r="AL82" s="697"/>
      <c r="AM82" s="144">
        <v>15</v>
      </c>
      <c r="AN82" s="205"/>
      <c r="AO82" s="206"/>
      <c r="AP82" s="206"/>
      <c r="AQ82" s="206"/>
      <c r="AR82" s="206"/>
      <c r="AS82" s="206"/>
      <c r="AT82" s="207"/>
      <c r="AU82" s="697"/>
      <c r="AV82" s="144">
        <v>15</v>
      </c>
      <c r="AW82" s="205"/>
      <c r="AX82" s="206"/>
      <c r="AY82" s="206"/>
      <c r="AZ82" s="206"/>
      <c r="BA82" s="206"/>
      <c r="BB82" s="206"/>
      <c r="BC82" s="207"/>
      <c r="BD82" s="697"/>
      <c r="BE82" s="144">
        <v>15</v>
      </c>
      <c r="BF82" s="205"/>
      <c r="BG82" s="206"/>
      <c r="BH82" s="206"/>
      <c r="BI82" s="206"/>
      <c r="BJ82" s="206"/>
      <c r="BK82" s="206"/>
      <c r="BL82" s="207"/>
      <c r="BM82" s="697"/>
      <c r="BN82" s="144">
        <v>15</v>
      </c>
      <c r="BO82" s="205"/>
      <c r="BP82" s="206"/>
      <c r="BQ82" s="206"/>
      <c r="BR82" s="206"/>
      <c r="BS82" s="206"/>
      <c r="BT82" s="206"/>
      <c r="BU82" s="207"/>
    </row>
    <row r="83" spans="1:73" ht="13.5" thickBot="1">
      <c r="A83" s="697"/>
      <c r="B83" s="209">
        <v>19</v>
      </c>
      <c r="C83" s="263">
        <v>2.6</v>
      </c>
      <c r="D83" s="250">
        <v>2.6</v>
      </c>
      <c r="E83" s="250">
        <v>2.6</v>
      </c>
      <c r="F83" s="250">
        <v>2.6</v>
      </c>
      <c r="G83" s="250">
        <v>2.6</v>
      </c>
      <c r="H83" s="250">
        <v>2.6</v>
      </c>
      <c r="I83" s="251">
        <v>2.5</v>
      </c>
      <c r="J83" s="697"/>
      <c r="K83" s="209">
        <v>19</v>
      </c>
      <c r="L83" s="216">
        <v>2.5</v>
      </c>
      <c r="M83" s="217">
        <v>2.5</v>
      </c>
      <c r="N83" s="217">
        <v>2.5</v>
      </c>
      <c r="O83" s="217">
        <v>2.5</v>
      </c>
      <c r="P83" s="217">
        <v>2.5</v>
      </c>
      <c r="Q83" s="217">
        <v>2.5</v>
      </c>
      <c r="R83" s="219">
        <v>2.4</v>
      </c>
      <c r="S83" s="697"/>
      <c r="T83" s="209">
        <v>19</v>
      </c>
      <c r="U83" s="216">
        <v>2.5</v>
      </c>
      <c r="V83" s="217">
        <v>2.5</v>
      </c>
      <c r="W83" s="217">
        <v>2.5</v>
      </c>
      <c r="X83" s="218">
        <v>2.4</v>
      </c>
      <c r="Y83" s="218">
        <v>2.4</v>
      </c>
      <c r="Z83" s="218">
        <v>2.4</v>
      </c>
      <c r="AA83" s="219">
        <v>2.4</v>
      </c>
      <c r="AB83" s="697"/>
      <c r="AC83" s="209">
        <v>19</v>
      </c>
      <c r="AD83" s="216">
        <v>2.5</v>
      </c>
      <c r="AE83" s="218">
        <v>2.4</v>
      </c>
      <c r="AF83" s="218">
        <v>2.4</v>
      </c>
      <c r="AG83" s="218">
        <v>2.4</v>
      </c>
      <c r="AH83" s="218">
        <v>2.4</v>
      </c>
      <c r="AI83" s="218">
        <v>2.4</v>
      </c>
      <c r="AJ83" s="219">
        <v>2.4</v>
      </c>
      <c r="AK83" s="140"/>
      <c r="AL83" s="697"/>
      <c r="AM83" s="209">
        <v>19</v>
      </c>
      <c r="AN83" s="222"/>
      <c r="AO83" s="223"/>
      <c r="AP83" s="223"/>
      <c r="AQ83" s="223"/>
      <c r="AR83" s="223"/>
      <c r="AS83" s="223"/>
      <c r="AT83" s="224"/>
      <c r="AU83" s="697"/>
      <c r="AV83" s="209">
        <v>19</v>
      </c>
      <c r="AW83" s="222"/>
      <c r="AX83" s="223"/>
      <c r="AY83" s="223"/>
      <c r="AZ83" s="223"/>
      <c r="BA83" s="223"/>
      <c r="BB83" s="223"/>
      <c r="BC83" s="224"/>
      <c r="BD83" s="697"/>
      <c r="BE83" s="209">
        <v>19</v>
      </c>
      <c r="BF83" s="222"/>
      <c r="BG83" s="223"/>
      <c r="BH83" s="223"/>
      <c r="BI83" s="223"/>
      <c r="BJ83" s="223"/>
      <c r="BK83" s="223"/>
      <c r="BL83" s="224"/>
      <c r="BM83" s="697"/>
      <c r="BN83" s="209">
        <v>19</v>
      </c>
      <c r="BO83" s="222"/>
      <c r="BP83" s="223"/>
      <c r="BQ83" s="223"/>
      <c r="BR83" s="223"/>
      <c r="BS83" s="223"/>
      <c r="BT83" s="223"/>
      <c r="BU83" s="224"/>
    </row>
    <row r="84" spans="1:73" ht="13.5" thickBot="1">
      <c r="C84" s="696" t="s">
        <v>6</v>
      </c>
      <c r="D84" s="696"/>
      <c r="E84" s="696"/>
      <c r="F84" s="696"/>
      <c r="G84" s="696"/>
      <c r="H84" s="696"/>
      <c r="I84" s="696"/>
      <c r="L84" s="696" t="s">
        <v>6</v>
      </c>
      <c r="M84" s="696"/>
      <c r="N84" s="696"/>
      <c r="O84" s="696"/>
      <c r="P84" s="696"/>
      <c r="Q84" s="696"/>
      <c r="R84" s="696"/>
      <c r="U84" s="696" t="s">
        <v>6</v>
      </c>
      <c r="V84" s="696"/>
      <c r="W84" s="696"/>
      <c r="X84" s="696"/>
      <c r="Y84" s="696"/>
      <c r="Z84" s="696"/>
      <c r="AA84" s="696"/>
      <c r="AD84" s="696" t="s">
        <v>6</v>
      </c>
      <c r="AE84" s="696"/>
      <c r="AF84" s="696"/>
      <c r="AG84" s="696"/>
      <c r="AH84" s="696"/>
      <c r="AI84" s="696"/>
      <c r="AJ84" s="696"/>
      <c r="AK84" s="140"/>
      <c r="AN84" s="696" t="s">
        <v>6</v>
      </c>
      <c r="AO84" s="696"/>
      <c r="AP84" s="696"/>
      <c r="AQ84" s="696"/>
      <c r="AR84" s="696"/>
      <c r="AS84" s="696"/>
      <c r="AT84" s="696"/>
      <c r="AW84" s="696" t="s">
        <v>6</v>
      </c>
      <c r="AX84" s="696"/>
      <c r="AY84" s="696"/>
      <c r="AZ84" s="696"/>
      <c r="BA84" s="696"/>
      <c r="BB84" s="696"/>
      <c r="BC84" s="696"/>
      <c r="BF84" s="696" t="s">
        <v>6</v>
      </c>
      <c r="BG84" s="696"/>
      <c r="BH84" s="696"/>
      <c r="BI84" s="696"/>
      <c r="BJ84" s="696"/>
      <c r="BK84" s="696"/>
      <c r="BL84" s="696"/>
      <c r="BO84" s="696" t="s">
        <v>6</v>
      </c>
      <c r="BP84" s="696"/>
      <c r="BQ84" s="696"/>
      <c r="BR84" s="696"/>
      <c r="BS84" s="696"/>
      <c r="BT84" s="696"/>
      <c r="BU84" s="696"/>
    </row>
    <row r="85" spans="1:73" ht="13.5" thickBot="1">
      <c r="B85" s="141">
        <v>22</v>
      </c>
      <c r="C85" s="142">
        <v>4</v>
      </c>
      <c r="D85" s="142">
        <v>6</v>
      </c>
      <c r="E85" s="142">
        <v>8</v>
      </c>
      <c r="F85" s="142">
        <v>10</v>
      </c>
      <c r="G85" s="142">
        <v>12</v>
      </c>
      <c r="H85" s="142">
        <v>15</v>
      </c>
      <c r="I85" s="143">
        <v>19</v>
      </c>
      <c r="K85" s="141">
        <v>22</v>
      </c>
      <c r="L85" s="142">
        <v>4</v>
      </c>
      <c r="M85" s="142">
        <v>6</v>
      </c>
      <c r="N85" s="142">
        <v>8</v>
      </c>
      <c r="O85" s="142">
        <v>10</v>
      </c>
      <c r="P85" s="142">
        <v>12</v>
      </c>
      <c r="Q85" s="142">
        <v>15</v>
      </c>
      <c r="R85" s="143">
        <v>19</v>
      </c>
      <c r="T85" s="141">
        <v>22</v>
      </c>
      <c r="U85" s="142">
        <v>4</v>
      </c>
      <c r="V85" s="142">
        <v>6</v>
      </c>
      <c r="W85" s="142">
        <v>8</v>
      </c>
      <c r="X85" s="142">
        <v>10</v>
      </c>
      <c r="Y85" s="142">
        <v>12</v>
      </c>
      <c r="Z85" s="142">
        <v>15</v>
      </c>
      <c r="AA85" s="143">
        <v>19</v>
      </c>
      <c r="AC85" s="141">
        <v>22</v>
      </c>
      <c r="AD85" s="142">
        <v>4</v>
      </c>
      <c r="AE85" s="142">
        <v>6</v>
      </c>
      <c r="AF85" s="142">
        <v>8</v>
      </c>
      <c r="AG85" s="142">
        <v>10</v>
      </c>
      <c r="AH85" s="142">
        <v>12</v>
      </c>
      <c r="AI85" s="142">
        <v>15</v>
      </c>
      <c r="AJ85" s="143">
        <v>19</v>
      </c>
      <c r="AK85" s="140"/>
      <c r="AM85" s="141">
        <v>22</v>
      </c>
      <c r="AN85" s="142">
        <v>4</v>
      </c>
      <c r="AO85" s="142">
        <v>6</v>
      </c>
      <c r="AP85" s="142">
        <v>8</v>
      </c>
      <c r="AQ85" s="142">
        <v>10</v>
      </c>
      <c r="AR85" s="142">
        <v>12</v>
      </c>
      <c r="AS85" s="142">
        <v>15</v>
      </c>
      <c r="AT85" s="143">
        <v>19</v>
      </c>
      <c r="AV85" s="141">
        <v>22</v>
      </c>
      <c r="AW85" s="142">
        <v>4</v>
      </c>
      <c r="AX85" s="142">
        <v>6</v>
      </c>
      <c r="AY85" s="142">
        <v>8</v>
      </c>
      <c r="AZ85" s="142">
        <v>10</v>
      </c>
      <c r="BA85" s="142">
        <v>12</v>
      </c>
      <c r="BB85" s="142">
        <v>15</v>
      </c>
      <c r="BC85" s="143">
        <v>19</v>
      </c>
      <c r="BE85" s="141">
        <v>22</v>
      </c>
      <c r="BF85" s="142">
        <v>4</v>
      </c>
      <c r="BG85" s="142">
        <v>6</v>
      </c>
      <c r="BH85" s="142">
        <v>8</v>
      </c>
      <c r="BI85" s="142">
        <v>10</v>
      </c>
      <c r="BJ85" s="142">
        <v>12</v>
      </c>
      <c r="BK85" s="142">
        <v>15</v>
      </c>
      <c r="BL85" s="143">
        <v>19</v>
      </c>
      <c r="BN85" s="141">
        <v>22</v>
      </c>
      <c r="BO85" s="142">
        <v>4</v>
      </c>
      <c r="BP85" s="142">
        <v>6</v>
      </c>
      <c r="BQ85" s="142">
        <v>8</v>
      </c>
      <c r="BR85" s="142">
        <v>10</v>
      </c>
      <c r="BS85" s="142">
        <v>12</v>
      </c>
      <c r="BT85" s="142">
        <v>15</v>
      </c>
      <c r="BU85" s="143">
        <v>19</v>
      </c>
    </row>
    <row r="86" spans="1:73" ht="15" customHeight="1">
      <c r="A86" s="697" t="s">
        <v>5</v>
      </c>
      <c r="B86" s="144">
        <v>4</v>
      </c>
      <c r="C86" s="227">
        <v>2.8</v>
      </c>
      <c r="D86" s="228">
        <v>2.7</v>
      </c>
      <c r="E86" s="228">
        <v>2.7</v>
      </c>
      <c r="F86" s="228">
        <v>2.7</v>
      </c>
      <c r="G86" s="228">
        <v>2.7</v>
      </c>
      <c r="H86" s="228">
        <v>2.7</v>
      </c>
      <c r="I86" s="150">
        <v>2.7</v>
      </c>
      <c r="J86" s="697" t="s">
        <v>5</v>
      </c>
      <c r="K86" s="144">
        <v>4</v>
      </c>
      <c r="L86" s="151">
        <v>2.6</v>
      </c>
      <c r="M86" s="152">
        <v>2.6</v>
      </c>
      <c r="N86" s="152">
        <v>2.6</v>
      </c>
      <c r="O86" s="152">
        <v>2.6</v>
      </c>
      <c r="P86" s="152">
        <v>2.6</v>
      </c>
      <c r="Q86" s="152">
        <v>2.6</v>
      </c>
      <c r="R86" s="154">
        <v>2.5</v>
      </c>
      <c r="S86" s="697" t="s">
        <v>5</v>
      </c>
      <c r="T86" s="144">
        <v>4</v>
      </c>
      <c r="U86" s="151">
        <v>2.6</v>
      </c>
      <c r="V86" s="152">
        <v>2.6</v>
      </c>
      <c r="W86" s="152">
        <v>2.6</v>
      </c>
      <c r="X86" s="153">
        <v>2.5</v>
      </c>
      <c r="Y86" s="153">
        <v>2.5</v>
      </c>
      <c r="Z86" s="153">
        <v>2.5</v>
      </c>
      <c r="AA86" s="154">
        <v>2.5</v>
      </c>
      <c r="AB86" s="697" t="s">
        <v>5</v>
      </c>
      <c r="AC86" s="144">
        <v>4</v>
      </c>
      <c r="AD86" s="151">
        <v>2.6</v>
      </c>
      <c r="AE86" s="153">
        <v>2.5</v>
      </c>
      <c r="AF86" s="153">
        <v>2.5</v>
      </c>
      <c r="AG86" s="153">
        <v>2.5</v>
      </c>
      <c r="AH86" s="153">
        <v>2.5</v>
      </c>
      <c r="AI86" s="153">
        <v>2.5</v>
      </c>
      <c r="AJ86" s="154">
        <v>2.5</v>
      </c>
      <c r="AK86" s="140"/>
      <c r="AL86" s="697" t="s">
        <v>5</v>
      </c>
      <c r="AM86" s="144">
        <v>4</v>
      </c>
      <c r="AN86" s="232">
        <v>1.4</v>
      </c>
      <c r="AO86" s="233">
        <v>1.4</v>
      </c>
      <c r="AP86" s="233">
        <v>1.4</v>
      </c>
      <c r="AQ86" s="233">
        <v>1.4</v>
      </c>
      <c r="AR86" s="233">
        <v>1.4</v>
      </c>
      <c r="AS86" s="233">
        <v>1.4</v>
      </c>
      <c r="AT86" s="234">
        <v>1.4</v>
      </c>
      <c r="AU86" s="697" t="s">
        <v>5</v>
      </c>
      <c r="AV86" s="144">
        <v>4</v>
      </c>
      <c r="AW86" s="165">
        <v>1.1000000000000001</v>
      </c>
      <c r="AX86" s="166">
        <v>1.1000000000000001</v>
      </c>
      <c r="AY86" s="166">
        <v>1.1000000000000001</v>
      </c>
      <c r="AZ86" s="166">
        <v>1.1000000000000001</v>
      </c>
      <c r="BA86" s="166">
        <v>1.1000000000000001</v>
      </c>
      <c r="BB86" s="166">
        <v>1.1000000000000001</v>
      </c>
      <c r="BC86" s="264">
        <v>1.1000000000000001</v>
      </c>
      <c r="BD86" s="697" t="s">
        <v>5</v>
      </c>
      <c r="BE86" s="144">
        <v>4</v>
      </c>
      <c r="BF86" s="257">
        <v>1</v>
      </c>
      <c r="BG86" s="258">
        <v>1</v>
      </c>
      <c r="BH86" s="258">
        <v>1</v>
      </c>
      <c r="BI86" s="258">
        <v>1</v>
      </c>
      <c r="BJ86" s="258">
        <v>1</v>
      </c>
      <c r="BK86" s="258">
        <v>1</v>
      </c>
      <c r="BL86" s="167">
        <v>1</v>
      </c>
      <c r="BM86" s="697" t="s">
        <v>5</v>
      </c>
      <c r="BN86" s="144">
        <v>4</v>
      </c>
      <c r="BO86" s="168">
        <v>0.9</v>
      </c>
      <c r="BP86" s="169">
        <v>0.9</v>
      </c>
      <c r="BQ86" s="169">
        <v>0.9</v>
      </c>
      <c r="BR86" s="169">
        <v>0.9</v>
      </c>
      <c r="BS86" s="169">
        <v>0.9</v>
      </c>
      <c r="BT86" s="169">
        <v>0.9</v>
      </c>
      <c r="BU86" s="235">
        <v>0.9</v>
      </c>
    </row>
    <row r="87" spans="1:73">
      <c r="A87" s="697"/>
      <c r="B87" s="144">
        <v>6</v>
      </c>
      <c r="C87" s="237">
        <v>2.7</v>
      </c>
      <c r="D87" s="200">
        <v>2.7</v>
      </c>
      <c r="E87" s="200">
        <v>2.7</v>
      </c>
      <c r="F87" s="200">
        <v>2.7</v>
      </c>
      <c r="G87" s="200">
        <v>2.7</v>
      </c>
      <c r="H87" s="200">
        <v>2.7</v>
      </c>
      <c r="I87" s="238">
        <v>2.6</v>
      </c>
      <c r="J87" s="697"/>
      <c r="K87" s="144">
        <v>6</v>
      </c>
      <c r="L87" s="179">
        <v>2.6</v>
      </c>
      <c r="M87" s="180">
        <v>2.6</v>
      </c>
      <c r="N87" s="180">
        <v>2.6</v>
      </c>
      <c r="O87" s="180">
        <v>2.6</v>
      </c>
      <c r="P87" s="180">
        <v>2.6</v>
      </c>
      <c r="Q87" s="181">
        <v>2.5</v>
      </c>
      <c r="R87" s="182">
        <v>2.5</v>
      </c>
      <c r="S87" s="697"/>
      <c r="T87" s="144">
        <v>6</v>
      </c>
      <c r="U87" s="179">
        <v>2.6</v>
      </c>
      <c r="V87" s="180">
        <v>2.6</v>
      </c>
      <c r="W87" s="181">
        <v>2.5</v>
      </c>
      <c r="X87" s="181">
        <v>2.5</v>
      </c>
      <c r="Y87" s="181">
        <v>2.5</v>
      </c>
      <c r="Z87" s="181">
        <v>2.5</v>
      </c>
      <c r="AA87" s="182">
        <v>2.5</v>
      </c>
      <c r="AB87" s="697"/>
      <c r="AC87" s="144">
        <v>6</v>
      </c>
      <c r="AD87" s="183">
        <v>2.5</v>
      </c>
      <c r="AE87" s="181">
        <v>2.5</v>
      </c>
      <c r="AF87" s="181">
        <v>2.5</v>
      </c>
      <c r="AG87" s="181">
        <v>2.5</v>
      </c>
      <c r="AH87" s="181">
        <v>2.5</v>
      </c>
      <c r="AI87" s="181">
        <v>2.5</v>
      </c>
      <c r="AJ87" s="185">
        <v>2.4</v>
      </c>
      <c r="AK87" s="140"/>
      <c r="AL87" s="697"/>
      <c r="AM87" s="144">
        <v>6</v>
      </c>
      <c r="AN87" s="242">
        <v>1.4</v>
      </c>
      <c r="AO87" s="243">
        <v>1.4</v>
      </c>
      <c r="AP87" s="243">
        <v>1.4</v>
      </c>
      <c r="AQ87" s="243">
        <v>1.4</v>
      </c>
      <c r="AR87" s="243">
        <v>1.4</v>
      </c>
      <c r="AS87" s="243">
        <v>1.4</v>
      </c>
      <c r="AT87" s="244">
        <v>1.4</v>
      </c>
      <c r="AU87" s="697"/>
      <c r="AV87" s="144">
        <v>6</v>
      </c>
      <c r="AW87" s="193">
        <v>1.1000000000000001</v>
      </c>
      <c r="AX87" s="194">
        <v>1.1000000000000001</v>
      </c>
      <c r="AY87" s="194">
        <v>1.1000000000000001</v>
      </c>
      <c r="AZ87" s="194">
        <v>1.1000000000000001</v>
      </c>
      <c r="BA87" s="194">
        <v>1.1000000000000001</v>
      </c>
      <c r="BB87" s="194">
        <v>1.1000000000000001</v>
      </c>
      <c r="BC87" s="265">
        <v>1.1000000000000001</v>
      </c>
      <c r="BD87" s="697"/>
      <c r="BE87" s="144">
        <v>6</v>
      </c>
      <c r="BF87" s="262">
        <v>1</v>
      </c>
      <c r="BG87" s="201">
        <v>1</v>
      </c>
      <c r="BH87" s="201">
        <v>1</v>
      </c>
      <c r="BI87" s="201">
        <v>1</v>
      </c>
      <c r="BJ87" s="201">
        <v>1</v>
      </c>
      <c r="BK87" s="201">
        <v>1</v>
      </c>
      <c r="BL87" s="195">
        <v>1</v>
      </c>
      <c r="BM87" s="697"/>
      <c r="BN87" s="144">
        <v>6</v>
      </c>
      <c r="BO87" s="196">
        <v>0.9</v>
      </c>
      <c r="BP87" s="245">
        <v>0.9</v>
      </c>
      <c r="BQ87" s="245">
        <v>0.9</v>
      </c>
      <c r="BR87" s="245">
        <v>0.9</v>
      </c>
      <c r="BS87" s="245">
        <v>0.9</v>
      </c>
      <c r="BT87" s="245">
        <v>0.9</v>
      </c>
      <c r="BU87" s="246">
        <v>0.9</v>
      </c>
    </row>
    <row r="88" spans="1:73">
      <c r="A88" s="697"/>
      <c r="B88" s="144">
        <v>8</v>
      </c>
      <c r="C88" s="237">
        <v>2.7</v>
      </c>
      <c r="D88" s="200">
        <v>2.7</v>
      </c>
      <c r="E88" s="200">
        <v>2.7</v>
      </c>
      <c r="F88" s="200">
        <v>2.7</v>
      </c>
      <c r="G88" s="200">
        <v>2.7</v>
      </c>
      <c r="H88" s="200">
        <v>2.7</v>
      </c>
      <c r="I88" s="238">
        <v>2.6</v>
      </c>
      <c r="J88" s="697"/>
      <c r="K88" s="144">
        <v>8</v>
      </c>
      <c r="L88" s="179">
        <v>2.6</v>
      </c>
      <c r="M88" s="180">
        <v>2.6</v>
      </c>
      <c r="N88" s="180">
        <v>2.6</v>
      </c>
      <c r="O88" s="180">
        <v>2.6</v>
      </c>
      <c r="P88" s="180">
        <v>2.6</v>
      </c>
      <c r="Q88" s="181">
        <v>2.5</v>
      </c>
      <c r="R88" s="182">
        <v>2.5</v>
      </c>
      <c r="S88" s="697"/>
      <c r="T88" s="144">
        <v>8</v>
      </c>
      <c r="U88" s="179">
        <v>2.6</v>
      </c>
      <c r="V88" s="181">
        <v>2.5</v>
      </c>
      <c r="W88" s="181">
        <v>2.5</v>
      </c>
      <c r="X88" s="181">
        <v>2.5</v>
      </c>
      <c r="Y88" s="181">
        <v>2.5</v>
      </c>
      <c r="Z88" s="181">
        <v>2.5</v>
      </c>
      <c r="AA88" s="182">
        <v>2.5</v>
      </c>
      <c r="AB88" s="697"/>
      <c r="AC88" s="144">
        <v>8</v>
      </c>
      <c r="AD88" s="183">
        <v>2.5</v>
      </c>
      <c r="AE88" s="181">
        <v>2.5</v>
      </c>
      <c r="AF88" s="181">
        <v>2.5</v>
      </c>
      <c r="AG88" s="181">
        <v>2.5</v>
      </c>
      <c r="AH88" s="181">
        <v>2.5</v>
      </c>
      <c r="AI88" s="181">
        <v>2.5</v>
      </c>
      <c r="AJ88" s="185">
        <v>2.4</v>
      </c>
      <c r="AK88" s="140"/>
      <c r="AL88" s="697"/>
      <c r="AM88" s="144">
        <v>8</v>
      </c>
      <c r="AN88" s="242">
        <v>1.4</v>
      </c>
      <c r="AO88" s="243">
        <v>1.4</v>
      </c>
      <c r="AP88" s="243">
        <v>1.4</v>
      </c>
      <c r="AQ88" s="243">
        <v>1.4</v>
      </c>
      <c r="AR88" s="243">
        <v>1.4</v>
      </c>
      <c r="AS88" s="243">
        <v>1.4</v>
      </c>
      <c r="AT88" s="244">
        <v>1.4</v>
      </c>
      <c r="AU88" s="697"/>
      <c r="AV88" s="144">
        <v>8</v>
      </c>
      <c r="AW88" s="193">
        <v>1.1000000000000001</v>
      </c>
      <c r="AX88" s="194">
        <v>1.1000000000000001</v>
      </c>
      <c r="AY88" s="194">
        <v>1.1000000000000001</v>
      </c>
      <c r="AZ88" s="194">
        <v>1.1000000000000001</v>
      </c>
      <c r="BA88" s="194">
        <v>1.1000000000000001</v>
      </c>
      <c r="BB88" s="194">
        <v>1.1000000000000001</v>
      </c>
      <c r="BC88" s="265">
        <v>1.1000000000000001</v>
      </c>
      <c r="BD88" s="697"/>
      <c r="BE88" s="144">
        <v>8</v>
      </c>
      <c r="BF88" s="262">
        <v>1</v>
      </c>
      <c r="BG88" s="201">
        <v>1</v>
      </c>
      <c r="BH88" s="201">
        <v>1</v>
      </c>
      <c r="BI88" s="201">
        <v>1</v>
      </c>
      <c r="BJ88" s="201">
        <v>1</v>
      </c>
      <c r="BK88" s="201">
        <v>1</v>
      </c>
      <c r="BL88" s="195">
        <v>1</v>
      </c>
      <c r="BM88" s="697"/>
      <c r="BN88" s="144">
        <v>8</v>
      </c>
      <c r="BO88" s="196">
        <v>0.9</v>
      </c>
      <c r="BP88" s="245">
        <v>0.9</v>
      </c>
      <c r="BQ88" s="245">
        <v>0.9</v>
      </c>
      <c r="BR88" s="245">
        <v>0.9</v>
      </c>
      <c r="BS88" s="245">
        <v>0.9</v>
      </c>
      <c r="BT88" s="245">
        <v>0.9</v>
      </c>
      <c r="BU88" s="246">
        <v>0.9</v>
      </c>
    </row>
    <row r="89" spans="1:73">
      <c r="A89" s="697"/>
      <c r="B89" s="144">
        <v>10</v>
      </c>
      <c r="C89" s="237">
        <v>2.7</v>
      </c>
      <c r="D89" s="200">
        <v>2.7</v>
      </c>
      <c r="E89" s="200">
        <v>2.7</v>
      </c>
      <c r="F89" s="200">
        <v>2.7</v>
      </c>
      <c r="G89" s="200">
        <v>2.7</v>
      </c>
      <c r="H89" s="180">
        <v>2.6</v>
      </c>
      <c r="I89" s="238">
        <v>2.6</v>
      </c>
      <c r="J89" s="697"/>
      <c r="K89" s="144">
        <v>10</v>
      </c>
      <c r="L89" s="179">
        <v>2.6</v>
      </c>
      <c r="M89" s="180">
        <v>2.6</v>
      </c>
      <c r="N89" s="180">
        <v>2.6</v>
      </c>
      <c r="O89" s="180">
        <v>2.6</v>
      </c>
      <c r="P89" s="181">
        <v>2.5</v>
      </c>
      <c r="Q89" s="181">
        <v>2.5</v>
      </c>
      <c r="R89" s="182">
        <v>2.5</v>
      </c>
      <c r="S89" s="697"/>
      <c r="T89" s="144">
        <v>10</v>
      </c>
      <c r="U89" s="183">
        <v>2.5</v>
      </c>
      <c r="V89" s="181">
        <v>2.5</v>
      </c>
      <c r="W89" s="181">
        <v>2.5</v>
      </c>
      <c r="X89" s="181">
        <v>2.5</v>
      </c>
      <c r="Y89" s="181">
        <v>2.5</v>
      </c>
      <c r="Z89" s="181">
        <v>2.5</v>
      </c>
      <c r="AA89" s="185">
        <v>2.4</v>
      </c>
      <c r="AB89" s="697"/>
      <c r="AC89" s="144">
        <v>10</v>
      </c>
      <c r="AD89" s="183">
        <v>2.5</v>
      </c>
      <c r="AE89" s="181">
        <v>2.5</v>
      </c>
      <c r="AF89" s="181">
        <v>2.5</v>
      </c>
      <c r="AG89" s="181">
        <v>2.5</v>
      </c>
      <c r="AH89" s="181">
        <v>2.5</v>
      </c>
      <c r="AI89" s="184">
        <v>2.4</v>
      </c>
      <c r="AJ89" s="185">
        <v>2.4</v>
      </c>
      <c r="AK89" s="140"/>
      <c r="AL89" s="697"/>
      <c r="AM89" s="144">
        <v>10</v>
      </c>
      <c r="AN89" s="242">
        <v>1.4</v>
      </c>
      <c r="AO89" s="243">
        <v>1.4</v>
      </c>
      <c r="AP89" s="243">
        <v>1.4</v>
      </c>
      <c r="AQ89" s="243">
        <v>1.4</v>
      </c>
      <c r="AR89" s="243">
        <v>1.4</v>
      </c>
      <c r="AS89" s="243">
        <v>1.4</v>
      </c>
      <c r="AT89" s="244">
        <v>1.4</v>
      </c>
      <c r="AU89" s="697"/>
      <c r="AV89" s="144">
        <v>10</v>
      </c>
      <c r="AW89" s="193">
        <v>1.1000000000000001</v>
      </c>
      <c r="AX89" s="194">
        <v>1.1000000000000001</v>
      </c>
      <c r="AY89" s="194">
        <v>1.1000000000000001</v>
      </c>
      <c r="AZ89" s="194">
        <v>1.1000000000000001</v>
      </c>
      <c r="BA89" s="194">
        <v>1.1000000000000001</v>
      </c>
      <c r="BB89" s="194">
        <v>1.1000000000000001</v>
      </c>
      <c r="BC89" s="265">
        <v>1.1000000000000001</v>
      </c>
      <c r="BD89" s="697"/>
      <c r="BE89" s="144">
        <v>10</v>
      </c>
      <c r="BF89" s="262">
        <v>1</v>
      </c>
      <c r="BG89" s="201">
        <v>1</v>
      </c>
      <c r="BH89" s="201">
        <v>1</v>
      </c>
      <c r="BI89" s="201">
        <v>1</v>
      </c>
      <c r="BJ89" s="201">
        <v>1</v>
      </c>
      <c r="BK89" s="201">
        <v>1</v>
      </c>
      <c r="BL89" s="195">
        <v>1</v>
      </c>
      <c r="BM89" s="697"/>
      <c r="BN89" s="144">
        <v>10</v>
      </c>
      <c r="BO89" s="196">
        <v>0.9</v>
      </c>
      <c r="BP89" s="245">
        <v>0.9</v>
      </c>
      <c r="BQ89" s="245">
        <v>0.9</v>
      </c>
      <c r="BR89" s="245">
        <v>0.9</v>
      </c>
      <c r="BS89" s="245">
        <v>0.9</v>
      </c>
      <c r="BT89" s="245">
        <v>0.9</v>
      </c>
      <c r="BU89" s="246">
        <v>0.9</v>
      </c>
    </row>
    <row r="90" spans="1:73">
      <c r="A90" s="697"/>
      <c r="B90" s="144">
        <v>12</v>
      </c>
      <c r="C90" s="237">
        <v>2.7</v>
      </c>
      <c r="D90" s="200">
        <v>2.7</v>
      </c>
      <c r="E90" s="200">
        <v>2.7</v>
      </c>
      <c r="F90" s="200">
        <v>2.7</v>
      </c>
      <c r="G90" s="180">
        <v>2.6</v>
      </c>
      <c r="H90" s="180">
        <v>2.6</v>
      </c>
      <c r="I90" s="238">
        <v>2.6</v>
      </c>
      <c r="J90" s="697"/>
      <c r="K90" s="144">
        <v>12</v>
      </c>
      <c r="L90" s="179">
        <v>2.6</v>
      </c>
      <c r="M90" s="180">
        <v>2.6</v>
      </c>
      <c r="N90" s="180">
        <v>2.6</v>
      </c>
      <c r="O90" s="181">
        <v>2.5</v>
      </c>
      <c r="P90" s="181">
        <v>2.5</v>
      </c>
      <c r="Q90" s="181">
        <v>2.5</v>
      </c>
      <c r="R90" s="182">
        <v>2.5</v>
      </c>
      <c r="S90" s="697"/>
      <c r="T90" s="144">
        <v>12</v>
      </c>
      <c r="U90" s="183">
        <v>2.5</v>
      </c>
      <c r="V90" s="181">
        <v>2.5</v>
      </c>
      <c r="W90" s="181">
        <v>2.5</v>
      </c>
      <c r="X90" s="181">
        <v>2.5</v>
      </c>
      <c r="Y90" s="181">
        <v>2.5</v>
      </c>
      <c r="Z90" s="181">
        <v>2.5</v>
      </c>
      <c r="AA90" s="185">
        <v>2.4</v>
      </c>
      <c r="AB90" s="697"/>
      <c r="AC90" s="144">
        <v>12</v>
      </c>
      <c r="AD90" s="183">
        <v>2.5</v>
      </c>
      <c r="AE90" s="181">
        <v>2.5</v>
      </c>
      <c r="AF90" s="181">
        <v>2.5</v>
      </c>
      <c r="AG90" s="181">
        <v>2.5</v>
      </c>
      <c r="AH90" s="181">
        <v>2.5</v>
      </c>
      <c r="AI90" s="184">
        <v>2.4</v>
      </c>
      <c r="AJ90" s="185">
        <v>2.4</v>
      </c>
      <c r="AK90" s="140"/>
      <c r="AL90" s="697"/>
      <c r="AM90" s="144">
        <v>12</v>
      </c>
      <c r="AN90" s="205"/>
      <c r="AO90" s="206"/>
      <c r="AP90" s="206"/>
      <c r="AQ90" s="206"/>
      <c r="AR90" s="206"/>
      <c r="AS90" s="206"/>
      <c r="AT90" s="207"/>
      <c r="AU90" s="697"/>
      <c r="AV90" s="144">
        <v>12</v>
      </c>
      <c r="AW90" s="205"/>
      <c r="AX90" s="206"/>
      <c r="AY90" s="206"/>
      <c r="AZ90" s="206"/>
      <c r="BA90" s="206"/>
      <c r="BB90" s="206"/>
      <c r="BC90" s="207"/>
      <c r="BD90" s="697"/>
      <c r="BE90" s="144">
        <v>12</v>
      </c>
      <c r="BF90" s="205"/>
      <c r="BG90" s="206"/>
      <c r="BH90" s="206"/>
      <c r="BI90" s="206"/>
      <c r="BJ90" s="206"/>
      <c r="BK90" s="206"/>
      <c r="BL90" s="207"/>
      <c r="BM90" s="697"/>
      <c r="BN90" s="144">
        <v>12</v>
      </c>
      <c r="BO90" s="205"/>
      <c r="BP90" s="206"/>
      <c r="BQ90" s="206"/>
      <c r="BR90" s="206"/>
      <c r="BS90" s="206"/>
      <c r="BT90" s="206"/>
      <c r="BU90" s="207"/>
    </row>
    <row r="91" spans="1:73">
      <c r="A91" s="697"/>
      <c r="B91" s="144">
        <v>15</v>
      </c>
      <c r="C91" s="237">
        <v>2.7</v>
      </c>
      <c r="D91" s="200">
        <v>2.7</v>
      </c>
      <c r="E91" s="200">
        <v>2.7</v>
      </c>
      <c r="F91" s="180">
        <v>2.6</v>
      </c>
      <c r="G91" s="180">
        <v>2.6</v>
      </c>
      <c r="H91" s="180">
        <v>2.6</v>
      </c>
      <c r="I91" s="238">
        <v>2.6</v>
      </c>
      <c r="J91" s="697"/>
      <c r="K91" s="144">
        <v>15</v>
      </c>
      <c r="L91" s="179">
        <v>2.6</v>
      </c>
      <c r="M91" s="181">
        <v>2.5</v>
      </c>
      <c r="N91" s="181">
        <v>2.5</v>
      </c>
      <c r="O91" s="181">
        <v>2.5</v>
      </c>
      <c r="P91" s="181">
        <v>2.5</v>
      </c>
      <c r="Q91" s="181">
        <v>2.5</v>
      </c>
      <c r="R91" s="182">
        <v>2.5</v>
      </c>
      <c r="S91" s="697"/>
      <c r="T91" s="144">
        <v>15</v>
      </c>
      <c r="U91" s="183">
        <v>2.5</v>
      </c>
      <c r="V91" s="181">
        <v>2.5</v>
      </c>
      <c r="W91" s="181">
        <v>2.5</v>
      </c>
      <c r="X91" s="181">
        <v>2.5</v>
      </c>
      <c r="Y91" s="181">
        <v>2.5</v>
      </c>
      <c r="Z91" s="184">
        <v>2.4</v>
      </c>
      <c r="AA91" s="185">
        <v>2.4</v>
      </c>
      <c r="AB91" s="697"/>
      <c r="AC91" s="144">
        <v>15</v>
      </c>
      <c r="AD91" s="183">
        <v>2.5</v>
      </c>
      <c r="AE91" s="181">
        <v>2.5</v>
      </c>
      <c r="AF91" s="181">
        <v>2.5</v>
      </c>
      <c r="AG91" s="184">
        <v>2.4</v>
      </c>
      <c r="AH91" s="184">
        <v>2.4</v>
      </c>
      <c r="AI91" s="184">
        <v>2.4</v>
      </c>
      <c r="AJ91" s="185">
        <v>2.4</v>
      </c>
      <c r="AK91" s="140"/>
      <c r="AL91" s="697"/>
      <c r="AM91" s="144">
        <v>15</v>
      </c>
      <c r="AN91" s="205"/>
      <c r="AO91" s="206"/>
      <c r="AP91" s="206"/>
      <c r="AQ91" s="206"/>
      <c r="AR91" s="206"/>
      <c r="AS91" s="206"/>
      <c r="AT91" s="207"/>
      <c r="AU91" s="697"/>
      <c r="AV91" s="144">
        <v>15</v>
      </c>
      <c r="AW91" s="205"/>
      <c r="AX91" s="206"/>
      <c r="AY91" s="206"/>
      <c r="AZ91" s="206"/>
      <c r="BA91" s="206"/>
      <c r="BB91" s="206"/>
      <c r="BC91" s="207"/>
      <c r="BD91" s="697"/>
      <c r="BE91" s="144">
        <v>15</v>
      </c>
      <c r="BF91" s="205"/>
      <c r="BG91" s="206"/>
      <c r="BH91" s="206"/>
      <c r="BI91" s="206"/>
      <c r="BJ91" s="206"/>
      <c r="BK91" s="206"/>
      <c r="BL91" s="207"/>
      <c r="BM91" s="697"/>
      <c r="BN91" s="144">
        <v>15</v>
      </c>
      <c r="BO91" s="205"/>
      <c r="BP91" s="206"/>
      <c r="BQ91" s="206"/>
      <c r="BR91" s="206"/>
      <c r="BS91" s="206"/>
      <c r="BT91" s="206"/>
      <c r="BU91" s="207"/>
    </row>
    <row r="92" spans="1:73" ht="13.5" thickBot="1">
      <c r="A92" s="697"/>
      <c r="B92" s="209">
        <v>19</v>
      </c>
      <c r="C92" s="213">
        <v>2.7</v>
      </c>
      <c r="D92" s="250">
        <v>2.6</v>
      </c>
      <c r="E92" s="250">
        <v>2.6</v>
      </c>
      <c r="F92" s="250">
        <v>2.6</v>
      </c>
      <c r="G92" s="250">
        <v>2.6</v>
      </c>
      <c r="H92" s="250">
        <v>2.6</v>
      </c>
      <c r="I92" s="215">
        <v>2.6</v>
      </c>
      <c r="J92" s="697"/>
      <c r="K92" s="209">
        <v>19</v>
      </c>
      <c r="L92" s="216">
        <v>2.5</v>
      </c>
      <c r="M92" s="217">
        <v>2.5</v>
      </c>
      <c r="N92" s="217">
        <v>2.5</v>
      </c>
      <c r="O92" s="217">
        <v>2.5</v>
      </c>
      <c r="P92" s="217">
        <v>2.5</v>
      </c>
      <c r="Q92" s="217">
        <v>2.5</v>
      </c>
      <c r="R92" s="219">
        <v>2.4</v>
      </c>
      <c r="S92" s="697"/>
      <c r="T92" s="209">
        <v>19</v>
      </c>
      <c r="U92" s="216">
        <v>2.5</v>
      </c>
      <c r="V92" s="217">
        <v>2.5</v>
      </c>
      <c r="W92" s="217">
        <v>2.5</v>
      </c>
      <c r="X92" s="218">
        <v>2.4</v>
      </c>
      <c r="Y92" s="218">
        <v>2.4</v>
      </c>
      <c r="Z92" s="218">
        <v>2.4</v>
      </c>
      <c r="AA92" s="219">
        <v>2.4</v>
      </c>
      <c r="AB92" s="697"/>
      <c r="AC92" s="209">
        <v>19</v>
      </c>
      <c r="AD92" s="216">
        <v>2.5</v>
      </c>
      <c r="AE92" s="218">
        <v>2.4</v>
      </c>
      <c r="AF92" s="218">
        <v>2.4</v>
      </c>
      <c r="AG92" s="218">
        <v>2.4</v>
      </c>
      <c r="AH92" s="218">
        <v>2.4</v>
      </c>
      <c r="AI92" s="218">
        <v>2.4</v>
      </c>
      <c r="AJ92" s="219">
        <v>2.4</v>
      </c>
      <c r="AK92" s="140"/>
      <c r="AL92" s="697"/>
      <c r="AM92" s="209">
        <v>19</v>
      </c>
      <c r="AN92" s="222"/>
      <c r="AO92" s="223"/>
      <c r="AP92" s="223"/>
      <c r="AQ92" s="223"/>
      <c r="AR92" s="223"/>
      <c r="AS92" s="223"/>
      <c r="AT92" s="224"/>
      <c r="AU92" s="697"/>
      <c r="AV92" s="209">
        <v>19</v>
      </c>
      <c r="AW92" s="222"/>
      <c r="AX92" s="223"/>
      <c r="AY92" s="223"/>
      <c r="AZ92" s="223"/>
      <c r="BA92" s="223"/>
      <c r="BB92" s="223"/>
      <c r="BC92" s="224"/>
      <c r="BD92" s="697"/>
      <c r="BE92" s="209">
        <v>19</v>
      </c>
      <c r="BF92" s="222"/>
      <c r="BG92" s="223"/>
      <c r="BH92" s="223"/>
      <c r="BI92" s="223"/>
      <c r="BJ92" s="223"/>
      <c r="BK92" s="223"/>
      <c r="BL92" s="224"/>
      <c r="BM92" s="697"/>
      <c r="BN92" s="209">
        <v>19</v>
      </c>
      <c r="BO92" s="222"/>
      <c r="BP92" s="223"/>
      <c r="BQ92" s="223"/>
      <c r="BR92" s="223"/>
      <c r="BS92" s="223"/>
      <c r="BT92" s="223"/>
      <c r="BU92" s="224"/>
    </row>
    <row r="93" spans="1:73" ht="13.5" thickBot="1">
      <c r="C93" s="696" t="s">
        <v>6</v>
      </c>
      <c r="D93" s="696"/>
      <c r="E93" s="696"/>
      <c r="F93" s="696"/>
      <c r="G93" s="696"/>
      <c r="H93" s="696"/>
      <c r="I93" s="696"/>
      <c r="L93" s="696" t="s">
        <v>6</v>
      </c>
      <c r="M93" s="696"/>
      <c r="N93" s="696"/>
      <c r="O93" s="696"/>
      <c r="P93" s="696"/>
      <c r="Q93" s="696"/>
      <c r="R93" s="696"/>
      <c r="U93" s="696" t="s">
        <v>6</v>
      </c>
      <c r="V93" s="696"/>
      <c r="W93" s="696"/>
      <c r="X93" s="696"/>
      <c r="Y93" s="696"/>
      <c r="Z93" s="696"/>
      <c r="AA93" s="696"/>
      <c r="AD93" s="696" t="s">
        <v>6</v>
      </c>
      <c r="AE93" s="696"/>
      <c r="AF93" s="696"/>
      <c r="AG93" s="696"/>
      <c r="AH93" s="696"/>
      <c r="AI93" s="696"/>
      <c r="AJ93" s="696"/>
      <c r="AK93" s="140"/>
      <c r="AN93" s="696" t="s">
        <v>6</v>
      </c>
      <c r="AO93" s="696"/>
      <c r="AP93" s="696"/>
      <c r="AQ93" s="696"/>
      <c r="AR93" s="696"/>
      <c r="AS93" s="696"/>
      <c r="AT93" s="696"/>
      <c r="AW93" s="696" t="s">
        <v>6</v>
      </c>
      <c r="AX93" s="696"/>
      <c r="AY93" s="696"/>
      <c r="AZ93" s="696"/>
      <c r="BA93" s="696"/>
      <c r="BB93" s="696"/>
      <c r="BC93" s="696"/>
      <c r="BF93" s="696" t="s">
        <v>6</v>
      </c>
      <c r="BG93" s="696"/>
      <c r="BH93" s="696"/>
      <c r="BI93" s="696"/>
      <c r="BJ93" s="696"/>
      <c r="BK93" s="696"/>
      <c r="BL93" s="696"/>
      <c r="BO93" s="696" t="s">
        <v>6</v>
      </c>
      <c r="BP93" s="696"/>
      <c r="BQ93" s="696"/>
      <c r="BR93" s="696"/>
      <c r="BS93" s="696"/>
      <c r="BT93" s="696"/>
      <c r="BU93" s="696"/>
    </row>
    <row r="94" spans="1:73" ht="13.5" thickBot="1">
      <c r="B94" s="141">
        <v>24</v>
      </c>
      <c r="C94" s="142">
        <v>4</v>
      </c>
      <c r="D94" s="142">
        <v>6</v>
      </c>
      <c r="E94" s="142">
        <v>8</v>
      </c>
      <c r="F94" s="142">
        <v>10</v>
      </c>
      <c r="G94" s="142">
        <v>12</v>
      </c>
      <c r="H94" s="142">
        <v>15</v>
      </c>
      <c r="I94" s="143">
        <v>19</v>
      </c>
      <c r="K94" s="141">
        <v>24</v>
      </c>
      <c r="L94" s="142">
        <v>4</v>
      </c>
      <c r="M94" s="142">
        <v>6</v>
      </c>
      <c r="N94" s="142">
        <v>8</v>
      </c>
      <c r="O94" s="142">
        <v>10</v>
      </c>
      <c r="P94" s="142">
        <v>12</v>
      </c>
      <c r="Q94" s="142">
        <v>15</v>
      </c>
      <c r="R94" s="143">
        <v>19</v>
      </c>
      <c r="T94" s="141">
        <v>24</v>
      </c>
      <c r="U94" s="142">
        <v>4</v>
      </c>
      <c r="V94" s="142">
        <v>6</v>
      </c>
      <c r="W94" s="142">
        <v>8</v>
      </c>
      <c r="X94" s="142">
        <v>10</v>
      </c>
      <c r="Y94" s="142">
        <v>12</v>
      </c>
      <c r="Z94" s="142">
        <v>15</v>
      </c>
      <c r="AA94" s="143">
        <v>19</v>
      </c>
      <c r="AC94" s="141">
        <v>24</v>
      </c>
      <c r="AD94" s="142">
        <v>4</v>
      </c>
      <c r="AE94" s="142">
        <v>6</v>
      </c>
      <c r="AF94" s="142">
        <v>8</v>
      </c>
      <c r="AG94" s="142">
        <v>10</v>
      </c>
      <c r="AH94" s="142">
        <v>12</v>
      </c>
      <c r="AI94" s="142">
        <v>15</v>
      </c>
      <c r="AJ94" s="143">
        <v>19</v>
      </c>
      <c r="AK94" s="140"/>
      <c r="AM94" s="141">
        <v>24</v>
      </c>
      <c r="AN94" s="142">
        <v>4</v>
      </c>
      <c r="AO94" s="142">
        <v>6</v>
      </c>
      <c r="AP94" s="142">
        <v>8</v>
      </c>
      <c r="AQ94" s="142">
        <v>10</v>
      </c>
      <c r="AR94" s="142">
        <v>12</v>
      </c>
      <c r="AS94" s="142">
        <v>15</v>
      </c>
      <c r="AT94" s="143">
        <v>19</v>
      </c>
      <c r="AV94" s="141">
        <v>24</v>
      </c>
      <c r="AW94" s="142">
        <v>4</v>
      </c>
      <c r="AX94" s="142">
        <v>6</v>
      </c>
      <c r="AY94" s="142">
        <v>8</v>
      </c>
      <c r="AZ94" s="142">
        <v>10</v>
      </c>
      <c r="BA94" s="142">
        <v>12</v>
      </c>
      <c r="BB94" s="142">
        <v>15</v>
      </c>
      <c r="BC94" s="143">
        <v>19</v>
      </c>
      <c r="BE94" s="141">
        <v>24</v>
      </c>
      <c r="BF94" s="142">
        <v>4</v>
      </c>
      <c r="BG94" s="142">
        <v>6</v>
      </c>
      <c r="BH94" s="142">
        <v>8</v>
      </c>
      <c r="BI94" s="142">
        <v>10</v>
      </c>
      <c r="BJ94" s="142">
        <v>12</v>
      </c>
      <c r="BK94" s="142">
        <v>15</v>
      </c>
      <c r="BL94" s="143">
        <v>19</v>
      </c>
      <c r="BN94" s="141">
        <v>24</v>
      </c>
      <c r="BO94" s="142">
        <v>4</v>
      </c>
      <c r="BP94" s="142">
        <v>6</v>
      </c>
      <c r="BQ94" s="142">
        <v>8</v>
      </c>
      <c r="BR94" s="142">
        <v>10</v>
      </c>
      <c r="BS94" s="142">
        <v>12</v>
      </c>
      <c r="BT94" s="142">
        <v>15</v>
      </c>
      <c r="BU94" s="143">
        <v>19</v>
      </c>
    </row>
    <row r="95" spans="1:73" ht="15" customHeight="1">
      <c r="A95" s="697" t="s">
        <v>5</v>
      </c>
      <c r="B95" s="144">
        <v>4</v>
      </c>
      <c r="C95" s="227">
        <v>2.8</v>
      </c>
      <c r="D95" s="149">
        <v>2.8</v>
      </c>
      <c r="E95" s="228">
        <v>2.7</v>
      </c>
      <c r="F95" s="228">
        <v>2.7</v>
      </c>
      <c r="G95" s="228">
        <v>2.7</v>
      </c>
      <c r="H95" s="228">
        <v>2.7</v>
      </c>
      <c r="I95" s="150">
        <v>2.7</v>
      </c>
      <c r="J95" s="697" t="s">
        <v>5</v>
      </c>
      <c r="K95" s="144">
        <v>4</v>
      </c>
      <c r="L95" s="151">
        <v>2.6</v>
      </c>
      <c r="M95" s="152">
        <v>2.6</v>
      </c>
      <c r="N95" s="152">
        <v>2.6</v>
      </c>
      <c r="O95" s="152">
        <v>2.6</v>
      </c>
      <c r="P95" s="152">
        <v>2.6</v>
      </c>
      <c r="Q95" s="152">
        <v>2.6</v>
      </c>
      <c r="R95" s="154">
        <v>2.5</v>
      </c>
      <c r="S95" s="697" t="s">
        <v>5</v>
      </c>
      <c r="T95" s="144">
        <v>4</v>
      </c>
      <c r="U95" s="151">
        <v>2.6</v>
      </c>
      <c r="V95" s="152">
        <v>2.6</v>
      </c>
      <c r="W95" s="152">
        <v>2.6</v>
      </c>
      <c r="X95" s="153">
        <v>2.5</v>
      </c>
      <c r="Y95" s="153">
        <v>2.5</v>
      </c>
      <c r="Z95" s="153">
        <v>2.5</v>
      </c>
      <c r="AA95" s="154">
        <v>2.5</v>
      </c>
      <c r="AB95" s="697" t="s">
        <v>5</v>
      </c>
      <c r="AC95" s="144">
        <v>4</v>
      </c>
      <c r="AD95" s="151">
        <v>2.6</v>
      </c>
      <c r="AE95" s="153">
        <v>2.5</v>
      </c>
      <c r="AF95" s="153">
        <v>2.5</v>
      </c>
      <c r="AG95" s="153">
        <v>2.5</v>
      </c>
      <c r="AH95" s="153">
        <v>2.5</v>
      </c>
      <c r="AI95" s="153">
        <v>2.5</v>
      </c>
      <c r="AJ95" s="154">
        <v>2.5</v>
      </c>
      <c r="AK95" s="140"/>
      <c r="AL95" s="697" t="s">
        <v>5</v>
      </c>
      <c r="AM95" s="144">
        <v>4</v>
      </c>
      <c r="AN95" s="232">
        <v>1.4</v>
      </c>
      <c r="AO95" s="233">
        <v>1.4</v>
      </c>
      <c r="AP95" s="233">
        <v>1.4</v>
      </c>
      <c r="AQ95" s="233">
        <v>1.4</v>
      </c>
      <c r="AR95" s="233">
        <v>1.4</v>
      </c>
      <c r="AS95" s="233">
        <v>1.4</v>
      </c>
      <c r="AT95" s="234">
        <v>1.4</v>
      </c>
      <c r="AU95" s="697" t="s">
        <v>5</v>
      </c>
      <c r="AV95" s="144">
        <v>4</v>
      </c>
      <c r="AW95" s="165">
        <v>1.1000000000000001</v>
      </c>
      <c r="AX95" s="166">
        <v>1.1000000000000001</v>
      </c>
      <c r="AY95" s="166">
        <v>1.1000000000000001</v>
      </c>
      <c r="AZ95" s="166">
        <v>1.1000000000000001</v>
      </c>
      <c r="BA95" s="166">
        <v>1.1000000000000001</v>
      </c>
      <c r="BB95" s="166">
        <v>1.1000000000000001</v>
      </c>
      <c r="BC95" s="264">
        <v>1.1000000000000001</v>
      </c>
      <c r="BD95" s="697" t="s">
        <v>5</v>
      </c>
      <c r="BE95" s="144">
        <v>4</v>
      </c>
      <c r="BF95" s="257">
        <v>1</v>
      </c>
      <c r="BG95" s="258">
        <v>1</v>
      </c>
      <c r="BH95" s="258">
        <v>1</v>
      </c>
      <c r="BI95" s="258">
        <v>1</v>
      </c>
      <c r="BJ95" s="258">
        <v>1</v>
      </c>
      <c r="BK95" s="258">
        <v>1</v>
      </c>
      <c r="BL95" s="167">
        <v>1</v>
      </c>
      <c r="BM95" s="697" t="s">
        <v>5</v>
      </c>
      <c r="BN95" s="144">
        <v>4</v>
      </c>
      <c r="BO95" s="168">
        <v>0.9</v>
      </c>
      <c r="BP95" s="169">
        <v>0.9</v>
      </c>
      <c r="BQ95" s="169">
        <v>0.9</v>
      </c>
      <c r="BR95" s="169">
        <v>0.9</v>
      </c>
      <c r="BS95" s="169">
        <v>0.9</v>
      </c>
      <c r="BT95" s="169">
        <v>0.9</v>
      </c>
      <c r="BU95" s="235">
        <v>0.9</v>
      </c>
    </row>
    <row r="96" spans="1:73">
      <c r="A96" s="697"/>
      <c r="B96" s="144">
        <v>6</v>
      </c>
      <c r="C96" s="199">
        <v>2.8</v>
      </c>
      <c r="D96" s="200">
        <v>2.7</v>
      </c>
      <c r="E96" s="200">
        <v>2.7</v>
      </c>
      <c r="F96" s="200">
        <v>2.7</v>
      </c>
      <c r="G96" s="200">
        <v>2.7</v>
      </c>
      <c r="H96" s="200">
        <v>2.7</v>
      </c>
      <c r="I96" s="238">
        <v>2.6</v>
      </c>
      <c r="J96" s="697"/>
      <c r="K96" s="144">
        <v>6</v>
      </c>
      <c r="L96" s="179">
        <v>2.6</v>
      </c>
      <c r="M96" s="180">
        <v>2.6</v>
      </c>
      <c r="N96" s="180">
        <v>2.6</v>
      </c>
      <c r="O96" s="180">
        <v>2.6</v>
      </c>
      <c r="P96" s="180">
        <v>2.6</v>
      </c>
      <c r="Q96" s="181">
        <v>2.5</v>
      </c>
      <c r="R96" s="182">
        <v>2.5</v>
      </c>
      <c r="S96" s="697"/>
      <c r="T96" s="144">
        <v>6</v>
      </c>
      <c r="U96" s="179">
        <v>2.6</v>
      </c>
      <c r="V96" s="180">
        <v>2.6</v>
      </c>
      <c r="W96" s="181">
        <v>2.5</v>
      </c>
      <c r="X96" s="181">
        <v>2.5</v>
      </c>
      <c r="Y96" s="181">
        <v>2.5</v>
      </c>
      <c r="Z96" s="181">
        <v>2.5</v>
      </c>
      <c r="AA96" s="182">
        <v>2.5</v>
      </c>
      <c r="AB96" s="697"/>
      <c r="AC96" s="144">
        <v>6</v>
      </c>
      <c r="AD96" s="183">
        <v>2.5</v>
      </c>
      <c r="AE96" s="181">
        <v>2.5</v>
      </c>
      <c r="AF96" s="181">
        <v>2.5</v>
      </c>
      <c r="AG96" s="181">
        <v>2.5</v>
      </c>
      <c r="AH96" s="181">
        <v>2.5</v>
      </c>
      <c r="AI96" s="181">
        <v>2.5</v>
      </c>
      <c r="AJ96" s="185">
        <v>2.4</v>
      </c>
      <c r="AK96" s="140"/>
      <c r="AL96" s="697"/>
      <c r="AM96" s="144">
        <v>6</v>
      </c>
      <c r="AN96" s="242">
        <v>1.4</v>
      </c>
      <c r="AO96" s="243">
        <v>1.4</v>
      </c>
      <c r="AP96" s="243">
        <v>1.4</v>
      </c>
      <c r="AQ96" s="243">
        <v>1.4</v>
      </c>
      <c r="AR96" s="243">
        <v>1.4</v>
      </c>
      <c r="AS96" s="243">
        <v>1.4</v>
      </c>
      <c r="AT96" s="244">
        <v>1.4</v>
      </c>
      <c r="AU96" s="697"/>
      <c r="AV96" s="144">
        <v>6</v>
      </c>
      <c r="AW96" s="193">
        <v>1.1000000000000001</v>
      </c>
      <c r="AX96" s="194">
        <v>1.1000000000000001</v>
      </c>
      <c r="AY96" s="194">
        <v>1.1000000000000001</v>
      </c>
      <c r="AZ96" s="194">
        <v>1.1000000000000001</v>
      </c>
      <c r="BA96" s="194">
        <v>1.1000000000000001</v>
      </c>
      <c r="BB96" s="194">
        <v>1.1000000000000001</v>
      </c>
      <c r="BC96" s="265">
        <v>1.1000000000000001</v>
      </c>
      <c r="BD96" s="697"/>
      <c r="BE96" s="144">
        <v>6</v>
      </c>
      <c r="BF96" s="262">
        <v>1</v>
      </c>
      <c r="BG96" s="201">
        <v>1</v>
      </c>
      <c r="BH96" s="201">
        <v>1</v>
      </c>
      <c r="BI96" s="201">
        <v>1</v>
      </c>
      <c r="BJ96" s="201">
        <v>1</v>
      </c>
      <c r="BK96" s="201">
        <v>1</v>
      </c>
      <c r="BL96" s="195">
        <v>1</v>
      </c>
      <c r="BM96" s="697"/>
      <c r="BN96" s="144">
        <v>6</v>
      </c>
      <c r="BO96" s="196">
        <v>0.9</v>
      </c>
      <c r="BP96" s="245">
        <v>0.9</v>
      </c>
      <c r="BQ96" s="245">
        <v>0.9</v>
      </c>
      <c r="BR96" s="245">
        <v>0.9</v>
      </c>
      <c r="BS96" s="245">
        <v>0.9</v>
      </c>
      <c r="BT96" s="245">
        <v>0.9</v>
      </c>
      <c r="BU96" s="246">
        <v>0.9</v>
      </c>
    </row>
    <row r="97" spans="1:73">
      <c r="A97" s="697"/>
      <c r="B97" s="144">
        <v>8</v>
      </c>
      <c r="C97" s="237">
        <v>2.7</v>
      </c>
      <c r="D97" s="200">
        <v>2.7</v>
      </c>
      <c r="E97" s="200">
        <v>2.7</v>
      </c>
      <c r="F97" s="200">
        <v>2.7</v>
      </c>
      <c r="G97" s="200">
        <v>2.7</v>
      </c>
      <c r="H97" s="200">
        <v>2.7</v>
      </c>
      <c r="I97" s="238">
        <v>2.6</v>
      </c>
      <c r="J97" s="697"/>
      <c r="K97" s="144">
        <v>8</v>
      </c>
      <c r="L97" s="179">
        <v>2.6</v>
      </c>
      <c r="M97" s="180">
        <v>2.6</v>
      </c>
      <c r="N97" s="180">
        <v>2.6</v>
      </c>
      <c r="O97" s="180">
        <v>2.6</v>
      </c>
      <c r="P97" s="180">
        <v>2.6</v>
      </c>
      <c r="Q97" s="181">
        <v>2.5</v>
      </c>
      <c r="R97" s="182">
        <v>2.5</v>
      </c>
      <c r="S97" s="697"/>
      <c r="T97" s="144">
        <v>8</v>
      </c>
      <c r="U97" s="179">
        <v>2.6</v>
      </c>
      <c r="V97" s="181">
        <v>2.5</v>
      </c>
      <c r="W97" s="181">
        <v>2.5</v>
      </c>
      <c r="X97" s="181">
        <v>2.5</v>
      </c>
      <c r="Y97" s="181">
        <v>2.5</v>
      </c>
      <c r="Z97" s="181">
        <v>2.5</v>
      </c>
      <c r="AA97" s="182">
        <v>2.5</v>
      </c>
      <c r="AB97" s="697"/>
      <c r="AC97" s="144">
        <v>8</v>
      </c>
      <c r="AD97" s="183">
        <v>2.5</v>
      </c>
      <c r="AE97" s="181">
        <v>2.5</v>
      </c>
      <c r="AF97" s="181">
        <v>2.5</v>
      </c>
      <c r="AG97" s="181">
        <v>2.5</v>
      </c>
      <c r="AH97" s="181">
        <v>2.5</v>
      </c>
      <c r="AI97" s="181">
        <v>2.5</v>
      </c>
      <c r="AJ97" s="185">
        <v>2.4</v>
      </c>
      <c r="AK97" s="140"/>
      <c r="AL97" s="697"/>
      <c r="AM97" s="144">
        <v>8</v>
      </c>
      <c r="AN97" s="242">
        <v>1.4</v>
      </c>
      <c r="AO97" s="243">
        <v>1.4</v>
      </c>
      <c r="AP97" s="243">
        <v>1.4</v>
      </c>
      <c r="AQ97" s="243">
        <v>1.4</v>
      </c>
      <c r="AR97" s="243">
        <v>1.4</v>
      </c>
      <c r="AS97" s="243">
        <v>1.4</v>
      </c>
      <c r="AT97" s="244">
        <v>1.4</v>
      </c>
      <c r="AU97" s="697"/>
      <c r="AV97" s="144">
        <v>8</v>
      </c>
      <c r="AW97" s="193">
        <v>1.1000000000000001</v>
      </c>
      <c r="AX97" s="194">
        <v>1.1000000000000001</v>
      </c>
      <c r="AY97" s="194">
        <v>1.1000000000000001</v>
      </c>
      <c r="AZ97" s="194">
        <v>1.1000000000000001</v>
      </c>
      <c r="BA97" s="194">
        <v>1.1000000000000001</v>
      </c>
      <c r="BB97" s="194">
        <v>1.1000000000000001</v>
      </c>
      <c r="BC97" s="265">
        <v>1.1000000000000001</v>
      </c>
      <c r="BD97" s="697"/>
      <c r="BE97" s="144">
        <v>8</v>
      </c>
      <c r="BF97" s="262">
        <v>1</v>
      </c>
      <c r="BG97" s="201">
        <v>1</v>
      </c>
      <c r="BH97" s="201">
        <v>1</v>
      </c>
      <c r="BI97" s="201">
        <v>1</v>
      </c>
      <c r="BJ97" s="201">
        <v>1</v>
      </c>
      <c r="BK97" s="201">
        <v>1</v>
      </c>
      <c r="BL97" s="195">
        <v>1</v>
      </c>
      <c r="BM97" s="697"/>
      <c r="BN97" s="144">
        <v>8</v>
      </c>
      <c r="BO97" s="196">
        <v>0.9</v>
      </c>
      <c r="BP97" s="245">
        <v>0.9</v>
      </c>
      <c r="BQ97" s="245">
        <v>0.9</v>
      </c>
      <c r="BR97" s="245">
        <v>0.9</v>
      </c>
      <c r="BS97" s="245">
        <v>0.9</v>
      </c>
      <c r="BT97" s="245">
        <v>0.9</v>
      </c>
      <c r="BU97" s="246">
        <v>0.9</v>
      </c>
    </row>
    <row r="98" spans="1:73">
      <c r="A98" s="697"/>
      <c r="B98" s="144">
        <v>10</v>
      </c>
      <c r="C98" s="237">
        <v>2.7</v>
      </c>
      <c r="D98" s="200">
        <v>2.7</v>
      </c>
      <c r="E98" s="200">
        <v>2.7</v>
      </c>
      <c r="F98" s="200">
        <v>2.7</v>
      </c>
      <c r="G98" s="200">
        <v>2.7</v>
      </c>
      <c r="H98" s="180">
        <v>2.6</v>
      </c>
      <c r="I98" s="238">
        <v>2.6</v>
      </c>
      <c r="J98" s="697"/>
      <c r="K98" s="144">
        <v>10</v>
      </c>
      <c r="L98" s="179">
        <v>2.6</v>
      </c>
      <c r="M98" s="180">
        <v>2.6</v>
      </c>
      <c r="N98" s="180">
        <v>2.6</v>
      </c>
      <c r="O98" s="180">
        <v>2.6</v>
      </c>
      <c r="P98" s="181">
        <v>2.5</v>
      </c>
      <c r="Q98" s="181">
        <v>2.5</v>
      </c>
      <c r="R98" s="182">
        <v>2.5</v>
      </c>
      <c r="S98" s="697"/>
      <c r="T98" s="144">
        <v>10</v>
      </c>
      <c r="U98" s="183">
        <v>2.5</v>
      </c>
      <c r="V98" s="181">
        <v>2.5</v>
      </c>
      <c r="W98" s="181">
        <v>2.5</v>
      </c>
      <c r="X98" s="181">
        <v>2.5</v>
      </c>
      <c r="Y98" s="181">
        <v>2.5</v>
      </c>
      <c r="Z98" s="181">
        <v>2.5</v>
      </c>
      <c r="AA98" s="182">
        <v>2.5</v>
      </c>
      <c r="AB98" s="697"/>
      <c r="AC98" s="144">
        <v>10</v>
      </c>
      <c r="AD98" s="183">
        <v>2.5</v>
      </c>
      <c r="AE98" s="181">
        <v>2.5</v>
      </c>
      <c r="AF98" s="181">
        <v>2.5</v>
      </c>
      <c r="AG98" s="181">
        <v>2.5</v>
      </c>
      <c r="AH98" s="181">
        <v>2.5</v>
      </c>
      <c r="AI98" s="184">
        <v>2.4</v>
      </c>
      <c r="AJ98" s="185">
        <v>2.4</v>
      </c>
      <c r="AK98" s="140"/>
      <c r="AL98" s="697"/>
      <c r="AM98" s="144">
        <v>10</v>
      </c>
      <c r="AN98" s="242">
        <v>1.4</v>
      </c>
      <c r="AO98" s="243">
        <v>1.4</v>
      </c>
      <c r="AP98" s="243">
        <v>1.4</v>
      </c>
      <c r="AQ98" s="243">
        <v>1.4</v>
      </c>
      <c r="AR98" s="243">
        <v>1.4</v>
      </c>
      <c r="AS98" s="243">
        <v>1.4</v>
      </c>
      <c r="AT98" s="244">
        <v>1.4</v>
      </c>
      <c r="AU98" s="697"/>
      <c r="AV98" s="144">
        <v>10</v>
      </c>
      <c r="AW98" s="193">
        <v>1.1000000000000001</v>
      </c>
      <c r="AX98" s="194">
        <v>1.1000000000000001</v>
      </c>
      <c r="AY98" s="194">
        <v>1.1000000000000001</v>
      </c>
      <c r="AZ98" s="194">
        <v>1.1000000000000001</v>
      </c>
      <c r="BA98" s="194">
        <v>1.1000000000000001</v>
      </c>
      <c r="BB98" s="194">
        <v>1.1000000000000001</v>
      </c>
      <c r="BC98" s="265">
        <v>1.1000000000000001</v>
      </c>
      <c r="BD98" s="697"/>
      <c r="BE98" s="144">
        <v>10</v>
      </c>
      <c r="BF98" s="262">
        <v>1</v>
      </c>
      <c r="BG98" s="201">
        <v>1</v>
      </c>
      <c r="BH98" s="201">
        <v>1</v>
      </c>
      <c r="BI98" s="201">
        <v>1</v>
      </c>
      <c r="BJ98" s="201">
        <v>1</v>
      </c>
      <c r="BK98" s="201">
        <v>1</v>
      </c>
      <c r="BL98" s="195">
        <v>1</v>
      </c>
      <c r="BM98" s="697"/>
      <c r="BN98" s="144">
        <v>10</v>
      </c>
      <c r="BO98" s="196">
        <v>0.9</v>
      </c>
      <c r="BP98" s="245">
        <v>0.9</v>
      </c>
      <c r="BQ98" s="245">
        <v>0.9</v>
      </c>
      <c r="BR98" s="245">
        <v>0.9</v>
      </c>
      <c r="BS98" s="245">
        <v>0.9</v>
      </c>
      <c r="BT98" s="245">
        <v>0.9</v>
      </c>
      <c r="BU98" s="246">
        <v>0.9</v>
      </c>
    </row>
    <row r="99" spans="1:73">
      <c r="A99" s="697"/>
      <c r="B99" s="144">
        <v>12</v>
      </c>
      <c r="C99" s="237">
        <v>2.7</v>
      </c>
      <c r="D99" s="200">
        <v>2.7</v>
      </c>
      <c r="E99" s="200">
        <v>2.7</v>
      </c>
      <c r="F99" s="200">
        <v>2.7</v>
      </c>
      <c r="G99" s="180">
        <v>2.6</v>
      </c>
      <c r="H99" s="180">
        <v>2.6</v>
      </c>
      <c r="I99" s="238">
        <v>2.6</v>
      </c>
      <c r="J99" s="697"/>
      <c r="K99" s="144">
        <v>12</v>
      </c>
      <c r="L99" s="179">
        <v>2.6</v>
      </c>
      <c r="M99" s="180">
        <v>2.6</v>
      </c>
      <c r="N99" s="180">
        <v>2.6</v>
      </c>
      <c r="O99" s="181">
        <v>2.5</v>
      </c>
      <c r="P99" s="181">
        <v>2.5</v>
      </c>
      <c r="Q99" s="181">
        <v>2.5</v>
      </c>
      <c r="R99" s="182">
        <v>2.5</v>
      </c>
      <c r="S99" s="697"/>
      <c r="T99" s="144">
        <v>12</v>
      </c>
      <c r="U99" s="183">
        <v>2.5</v>
      </c>
      <c r="V99" s="181">
        <v>2.5</v>
      </c>
      <c r="W99" s="181">
        <v>2.5</v>
      </c>
      <c r="X99" s="181">
        <v>2.5</v>
      </c>
      <c r="Y99" s="181">
        <v>2.5</v>
      </c>
      <c r="Z99" s="181">
        <v>2.5</v>
      </c>
      <c r="AA99" s="185">
        <v>2.4</v>
      </c>
      <c r="AB99" s="697"/>
      <c r="AC99" s="144">
        <v>12</v>
      </c>
      <c r="AD99" s="183">
        <v>2.5</v>
      </c>
      <c r="AE99" s="181">
        <v>2.5</v>
      </c>
      <c r="AF99" s="181">
        <v>2.5</v>
      </c>
      <c r="AG99" s="181">
        <v>2.5</v>
      </c>
      <c r="AH99" s="181">
        <v>2.5</v>
      </c>
      <c r="AI99" s="184">
        <v>2.4</v>
      </c>
      <c r="AJ99" s="185">
        <v>2.4</v>
      </c>
      <c r="AK99" s="140"/>
      <c r="AL99" s="697"/>
      <c r="AM99" s="144">
        <v>12</v>
      </c>
      <c r="AN99" s="205"/>
      <c r="AO99" s="206"/>
      <c r="AP99" s="206"/>
      <c r="AQ99" s="206"/>
      <c r="AR99" s="206"/>
      <c r="AS99" s="206"/>
      <c r="AT99" s="207"/>
      <c r="AU99" s="697"/>
      <c r="AV99" s="144">
        <v>12</v>
      </c>
      <c r="AW99" s="205"/>
      <c r="AX99" s="206"/>
      <c r="AY99" s="206"/>
      <c r="AZ99" s="206"/>
      <c r="BA99" s="206"/>
      <c r="BB99" s="206"/>
      <c r="BC99" s="207"/>
      <c r="BD99" s="697"/>
      <c r="BE99" s="144">
        <v>12</v>
      </c>
      <c r="BF99" s="205"/>
      <c r="BG99" s="206"/>
      <c r="BH99" s="206"/>
      <c r="BI99" s="206"/>
      <c r="BJ99" s="206"/>
      <c r="BK99" s="206"/>
      <c r="BL99" s="207"/>
      <c r="BM99" s="697"/>
      <c r="BN99" s="144">
        <v>12</v>
      </c>
      <c r="BO99" s="205"/>
      <c r="BP99" s="206"/>
      <c r="BQ99" s="206"/>
      <c r="BR99" s="206"/>
      <c r="BS99" s="206"/>
      <c r="BT99" s="206"/>
      <c r="BU99" s="207"/>
    </row>
    <row r="100" spans="1:73">
      <c r="A100" s="697"/>
      <c r="B100" s="144">
        <v>15</v>
      </c>
      <c r="C100" s="237">
        <v>2.7</v>
      </c>
      <c r="D100" s="200">
        <v>2.7</v>
      </c>
      <c r="E100" s="200">
        <v>2.7</v>
      </c>
      <c r="F100" s="180">
        <v>2.6</v>
      </c>
      <c r="G100" s="180">
        <v>2.6</v>
      </c>
      <c r="H100" s="180">
        <v>2.6</v>
      </c>
      <c r="I100" s="238">
        <v>2.6</v>
      </c>
      <c r="J100" s="697"/>
      <c r="K100" s="144">
        <v>15</v>
      </c>
      <c r="L100" s="179">
        <v>2.6</v>
      </c>
      <c r="M100" s="181">
        <v>2.5</v>
      </c>
      <c r="N100" s="181">
        <v>2.5</v>
      </c>
      <c r="O100" s="181">
        <v>2.5</v>
      </c>
      <c r="P100" s="181">
        <v>2.5</v>
      </c>
      <c r="Q100" s="181">
        <v>2.5</v>
      </c>
      <c r="R100" s="182">
        <v>2.5</v>
      </c>
      <c r="S100" s="697"/>
      <c r="T100" s="144">
        <v>15</v>
      </c>
      <c r="U100" s="183">
        <v>2.5</v>
      </c>
      <c r="V100" s="181">
        <v>2.5</v>
      </c>
      <c r="W100" s="181">
        <v>2.5</v>
      </c>
      <c r="X100" s="181">
        <v>2.5</v>
      </c>
      <c r="Y100" s="181">
        <v>2.5</v>
      </c>
      <c r="Z100" s="184">
        <v>2.4</v>
      </c>
      <c r="AA100" s="185">
        <v>2.4</v>
      </c>
      <c r="AB100" s="697"/>
      <c r="AC100" s="144">
        <v>15</v>
      </c>
      <c r="AD100" s="183">
        <v>2.5</v>
      </c>
      <c r="AE100" s="181">
        <v>2.5</v>
      </c>
      <c r="AF100" s="181">
        <v>2.5</v>
      </c>
      <c r="AG100" s="184">
        <v>2.4</v>
      </c>
      <c r="AH100" s="184">
        <v>2.4</v>
      </c>
      <c r="AI100" s="184">
        <v>2.4</v>
      </c>
      <c r="AJ100" s="185">
        <v>2.4</v>
      </c>
      <c r="AK100" s="140"/>
      <c r="AL100" s="697"/>
      <c r="AM100" s="144">
        <v>15</v>
      </c>
      <c r="AN100" s="205"/>
      <c r="AO100" s="206"/>
      <c r="AP100" s="206"/>
      <c r="AQ100" s="206"/>
      <c r="AR100" s="206"/>
      <c r="AS100" s="206"/>
      <c r="AT100" s="207"/>
      <c r="AU100" s="697"/>
      <c r="AV100" s="144">
        <v>15</v>
      </c>
      <c r="AW100" s="205"/>
      <c r="AX100" s="206"/>
      <c r="AY100" s="206"/>
      <c r="AZ100" s="206"/>
      <c r="BA100" s="206"/>
      <c r="BB100" s="206"/>
      <c r="BC100" s="207"/>
      <c r="BD100" s="697"/>
      <c r="BE100" s="144">
        <v>15</v>
      </c>
      <c r="BF100" s="205"/>
      <c r="BG100" s="206"/>
      <c r="BH100" s="206"/>
      <c r="BI100" s="206"/>
      <c r="BJ100" s="206"/>
      <c r="BK100" s="206"/>
      <c r="BL100" s="207"/>
      <c r="BM100" s="697"/>
      <c r="BN100" s="144">
        <v>15</v>
      </c>
      <c r="BO100" s="205"/>
      <c r="BP100" s="206"/>
      <c r="BQ100" s="206"/>
      <c r="BR100" s="206"/>
      <c r="BS100" s="206"/>
      <c r="BT100" s="206"/>
      <c r="BU100" s="207"/>
    </row>
    <row r="101" spans="1:73" ht="13.5" thickBot="1">
      <c r="A101" s="697"/>
      <c r="B101" s="209">
        <v>19</v>
      </c>
      <c r="C101" s="213">
        <v>2.7</v>
      </c>
      <c r="D101" s="250">
        <v>2.6</v>
      </c>
      <c r="E101" s="250">
        <v>2.6</v>
      </c>
      <c r="F101" s="250">
        <v>2.6</v>
      </c>
      <c r="G101" s="250">
        <v>2.6</v>
      </c>
      <c r="H101" s="250">
        <v>2.6</v>
      </c>
      <c r="I101" s="215">
        <v>2.6</v>
      </c>
      <c r="J101" s="697"/>
      <c r="K101" s="209">
        <v>19</v>
      </c>
      <c r="L101" s="216">
        <v>2.5</v>
      </c>
      <c r="M101" s="217">
        <v>2.5</v>
      </c>
      <c r="N101" s="217">
        <v>2.5</v>
      </c>
      <c r="O101" s="217">
        <v>2.5</v>
      </c>
      <c r="P101" s="217">
        <v>2.5</v>
      </c>
      <c r="Q101" s="217">
        <v>2.5</v>
      </c>
      <c r="R101" s="219">
        <v>2.4</v>
      </c>
      <c r="S101" s="697"/>
      <c r="T101" s="209">
        <v>19</v>
      </c>
      <c r="U101" s="216">
        <v>2.5</v>
      </c>
      <c r="V101" s="217">
        <v>2.5</v>
      </c>
      <c r="W101" s="217">
        <v>2.5</v>
      </c>
      <c r="X101" s="217">
        <v>2.5</v>
      </c>
      <c r="Y101" s="218">
        <v>2.4</v>
      </c>
      <c r="Z101" s="218">
        <v>2.4</v>
      </c>
      <c r="AA101" s="219">
        <v>2.4</v>
      </c>
      <c r="AB101" s="697"/>
      <c r="AC101" s="209">
        <v>19</v>
      </c>
      <c r="AD101" s="216">
        <v>2.5</v>
      </c>
      <c r="AE101" s="218">
        <v>2.4</v>
      </c>
      <c r="AF101" s="218">
        <v>2.4</v>
      </c>
      <c r="AG101" s="218">
        <v>2.4</v>
      </c>
      <c r="AH101" s="218">
        <v>2.4</v>
      </c>
      <c r="AI101" s="218">
        <v>2.4</v>
      </c>
      <c r="AJ101" s="219">
        <v>2.4</v>
      </c>
      <c r="AK101" s="140"/>
      <c r="AL101" s="697"/>
      <c r="AM101" s="209">
        <v>19</v>
      </c>
      <c r="AN101" s="222"/>
      <c r="AO101" s="223"/>
      <c r="AP101" s="223"/>
      <c r="AQ101" s="223"/>
      <c r="AR101" s="223"/>
      <c r="AS101" s="223"/>
      <c r="AT101" s="224"/>
      <c r="AU101" s="697"/>
      <c r="AV101" s="209">
        <v>19</v>
      </c>
      <c r="AW101" s="222"/>
      <c r="AX101" s="223"/>
      <c r="AY101" s="223"/>
      <c r="AZ101" s="223"/>
      <c r="BA101" s="223"/>
      <c r="BB101" s="223"/>
      <c r="BC101" s="224"/>
      <c r="BD101" s="697"/>
      <c r="BE101" s="209">
        <v>19</v>
      </c>
      <c r="BF101" s="222"/>
      <c r="BG101" s="223"/>
      <c r="BH101" s="223"/>
      <c r="BI101" s="223"/>
      <c r="BJ101" s="223"/>
      <c r="BK101" s="223"/>
      <c r="BL101" s="224"/>
      <c r="BM101" s="697"/>
      <c r="BN101" s="209">
        <v>19</v>
      </c>
      <c r="BO101" s="222"/>
      <c r="BP101" s="223"/>
      <c r="BQ101" s="223"/>
      <c r="BR101" s="223"/>
      <c r="BS101" s="223"/>
      <c r="BT101" s="223"/>
      <c r="BU101" s="224"/>
    </row>
    <row r="103" spans="1:73">
      <c r="B103" s="698" t="s">
        <v>456</v>
      </c>
      <c r="C103" s="698"/>
      <c r="D103" s="698"/>
      <c r="E103" s="698"/>
      <c r="F103" s="698"/>
      <c r="G103" s="698"/>
      <c r="H103" s="698"/>
      <c r="I103" s="698"/>
      <c r="J103" s="698"/>
      <c r="K103" s="698"/>
      <c r="L103" s="698"/>
      <c r="M103" s="698"/>
      <c r="N103" s="698"/>
      <c r="O103" s="698"/>
      <c r="P103" s="698"/>
      <c r="Q103" s="698"/>
      <c r="R103" s="698"/>
      <c r="S103" s="698"/>
      <c r="T103" s="698"/>
      <c r="U103" s="698"/>
      <c r="V103" s="698"/>
      <c r="W103" s="698"/>
      <c r="X103" s="698"/>
      <c r="Y103" s="698"/>
      <c r="Z103" s="698"/>
      <c r="AA103" s="698"/>
      <c r="AB103" s="698"/>
      <c r="AC103" s="698"/>
      <c r="AD103" s="698"/>
      <c r="AE103" s="698"/>
      <c r="AF103" s="698"/>
      <c r="AG103" s="698"/>
      <c r="AH103" s="698"/>
    </row>
    <row r="104" spans="1:73" ht="13.5" thickBot="1">
      <c r="B104" s="700" t="s">
        <v>260</v>
      </c>
      <c r="C104" s="700"/>
      <c r="D104" s="700"/>
      <c r="E104" s="700"/>
      <c r="F104" s="700"/>
      <c r="K104" s="700" t="s">
        <v>462</v>
      </c>
      <c r="L104" s="700"/>
      <c r="M104" s="700"/>
      <c r="N104" s="700"/>
      <c r="O104" s="700"/>
      <c r="T104" s="700" t="s">
        <v>463</v>
      </c>
      <c r="U104" s="700"/>
      <c r="V104" s="700"/>
      <c r="W104" s="700"/>
      <c r="X104" s="700"/>
      <c r="AC104" s="700" t="s">
        <v>464</v>
      </c>
      <c r="AD104" s="700"/>
      <c r="AE104" s="700"/>
      <c r="AF104" s="700"/>
      <c r="AG104" s="700"/>
    </row>
    <row r="105" spans="1:73" ht="13.5" thickBot="1">
      <c r="B105" s="701" t="s">
        <v>465</v>
      </c>
      <c r="C105" s="701"/>
      <c r="D105" s="701"/>
      <c r="E105" s="701"/>
      <c r="F105" s="701"/>
      <c r="G105" s="276">
        <v>2.2999999999999998</v>
      </c>
      <c r="K105" s="701" t="s">
        <v>465</v>
      </c>
      <c r="L105" s="701"/>
      <c r="M105" s="701"/>
      <c r="N105" s="701"/>
      <c r="O105" s="701"/>
      <c r="P105" s="276">
        <v>2</v>
      </c>
      <c r="T105" s="701" t="s">
        <v>465</v>
      </c>
      <c r="U105" s="701"/>
      <c r="V105" s="701"/>
      <c r="W105" s="701"/>
      <c r="X105" s="701"/>
      <c r="Y105" s="276">
        <v>1.8</v>
      </c>
      <c r="AC105" s="701" t="s">
        <v>465</v>
      </c>
      <c r="AD105" s="701"/>
      <c r="AE105" s="701"/>
      <c r="AF105" s="701"/>
      <c r="AG105" s="701"/>
      <c r="AH105" s="276">
        <v>1.8</v>
      </c>
    </row>
    <row r="106" spans="1:73" ht="13.5" thickBot="1">
      <c r="B106" s="702" t="s">
        <v>466</v>
      </c>
      <c r="C106" s="702"/>
      <c r="D106" s="702"/>
      <c r="E106" s="292">
        <v>4</v>
      </c>
      <c r="F106" s="291">
        <v>2.2999999999999998</v>
      </c>
      <c r="K106" s="702" t="s">
        <v>466</v>
      </c>
      <c r="L106" s="702"/>
      <c r="M106" s="702"/>
      <c r="N106" s="292">
        <v>4</v>
      </c>
      <c r="O106" s="150">
        <v>2</v>
      </c>
      <c r="T106" s="702" t="s">
        <v>466</v>
      </c>
      <c r="U106" s="702"/>
      <c r="V106" s="702"/>
      <c r="W106" s="292">
        <v>4</v>
      </c>
      <c r="X106" s="150">
        <v>1.8</v>
      </c>
      <c r="AC106" s="702" t="s">
        <v>466</v>
      </c>
      <c r="AD106" s="702"/>
      <c r="AE106" s="702"/>
      <c r="AF106" s="292">
        <v>4</v>
      </c>
      <c r="AG106" s="150">
        <v>1.6</v>
      </c>
    </row>
    <row r="107" spans="1:73" ht="13.5" thickBot="1">
      <c r="B107" s="702" t="s">
        <v>467</v>
      </c>
      <c r="C107" s="702"/>
      <c r="D107" s="702"/>
      <c r="E107" s="292">
        <v>6</v>
      </c>
      <c r="F107" s="291">
        <v>2.2999999999999998</v>
      </c>
      <c r="K107" s="702" t="s">
        <v>467</v>
      </c>
      <c r="L107" s="702"/>
      <c r="M107" s="702"/>
      <c r="N107" s="292">
        <v>6</v>
      </c>
      <c r="O107" s="150">
        <v>2</v>
      </c>
      <c r="T107" s="702" t="s">
        <v>467</v>
      </c>
      <c r="U107" s="702"/>
      <c r="V107" s="702"/>
      <c r="W107" s="292">
        <v>6</v>
      </c>
      <c r="X107" s="150">
        <v>1.8</v>
      </c>
      <c r="AC107" s="702" t="s">
        <v>467</v>
      </c>
      <c r="AD107" s="702"/>
      <c r="AE107" s="702"/>
      <c r="AF107" s="292">
        <v>6</v>
      </c>
      <c r="AG107" s="150">
        <v>1.6</v>
      </c>
    </row>
    <row r="108" spans="1:73" ht="13.5" thickBot="1">
      <c r="B108" s="702" t="s">
        <v>468</v>
      </c>
      <c r="C108" s="702"/>
      <c r="D108" s="702"/>
      <c r="E108" s="292">
        <v>8</v>
      </c>
      <c r="F108" s="291">
        <v>2.2000000000000002</v>
      </c>
      <c r="K108" s="702" t="s">
        <v>468</v>
      </c>
      <c r="L108" s="702"/>
      <c r="M108" s="702"/>
      <c r="N108" s="292">
        <v>8</v>
      </c>
      <c r="O108" s="150">
        <v>2</v>
      </c>
      <c r="T108" s="702" t="s">
        <v>468</v>
      </c>
      <c r="U108" s="702"/>
      <c r="V108" s="702"/>
      <c r="W108" s="292">
        <v>8</v>
      </c>
      <c r="X108" s="150">
        <v>1.7</v>
      </c>
      <c r="AC108" s="702" t="s">
        <v>468</v>
      </c>
      <c r="AD108" s="702"/>
      <c r="AE108" s="702"/>
      <c r="AF108" s="292">
        <v>8</v>
      </c>
      <c r="AG108" s="150">
        <v>1.6</v>
      </c>
    </row>
    <row r="109" spans="1:73" ht="13.5" thickBot="1">
      <c r="B109" s="701" t="s">
        <v>469</v>
      </c>
      <c r="C109" s="701"/>
      <c r="D109" s="701"/>
      <c r="E109" s="701"/>
      <c r="F109" s="701"/>
      <c r="G109" s="276">
        <v>2.1</v>
      </c>
      <c r="K109" s="701" t="s">
        <v>469</v>
      </c>
      <c r="L109" s="701"/>
      <c r="M109" s="701"/>
      <c r="N109" s="701"/>
      <c r="O109" s="701"/>
      <c r="P109" s="276">
        <v>1.9</v>
      </c>
      <c r="T109" s="701" t="s">
        <v>469</v>
      </c>
      <c r="U109" s="701"/>
      <c r="V109" s="701"/>
      <c r="W109" s="701"/>
      <c r="X109" s="701"/>
      <c r="Y109" s="276">
        <v>1.7</v>
      </c>
      <c r="AC109" s="701" t="s">
        <v>469</v>
      </c>
      <c r="AD109" s="701"/>
      <c r="AE109" s="701"/>
      <c r="AF109" s="701"/>
      <c r="AG109" s="701"/>
      <c r="AH109" s="276">
        <v>1.7</v>
      </c>
    </row>
    <row r="110" spans="1:73" ht="13.5" thickBot="1">
      <c r="B110" s="702" t="s">
        <v>470</v>
      </c>
      <c r="C110" s="702"/>
      <c r="D110" s="702"/>
      <c r="E110" s="292">
        <v>4</v>
      </c>
      <c r="F110" s="150">
        <v>2.1</v>
      </c>
      <c r="K110" s="702" t="s">
        <v>470</v>
      </c>
      <c r="L110" s="702"/>
      <c r="M110" s="702"/>
      <c r="N110" s="292">
        <v>4</v>
      </c>
      <c r="O110" s="150">
        <v>1.9</v>
      </c>
      <c r="T110" s="702" t="s">
        <v>470</v>
      </c>
      <c r="U110" s="702"/>
      <c r="V110" s="702"/>
      <c r="W110" s="292">
        <v>4</v>
      </c>
      <c r="X110" s="150">
        <v>1.7</v>
      </c>
      <c r="AC110" s="702" t="s">
        <v>470</v>
      </c>
      <c r="AD110" s="702"/>
      <c r="AE110" s="702"/>
      <c r="AF110" s="292">
        <v>4</v>
      </c>
      <c r="AG110" s="150">
        <v>1.6</v>
      </c>
    </row>
    <row r="111" spans="1:73" ht="13.5" thickBot="1">
      <c r="B111" s="702" t="s">
        <v>471</v>
      </c>
      <c r="C111" s="702"/>
      <c r="D111" s="702"/>
      <c r="E111" s="292">
        <v>6</v>
      </c>
      <c r="F111" s="150">
        <v>2.1</v>
      </c>
      <c r="K111" s="702" t="s">
        <v>471</v>
      </c>
      <c r="L111" s="702"/>
      <c r="M111" s="702"/>
      <c r="N111" s="292">
        <v>6</v>
      </c>
      <c r="O111" s="150">
        <v>1.9</v>
      </c>
      <c r="T111" s="702" t="s">
        <v>471</v>
      </c>
      <c r="U111" s="702"/>
      <c r="V111" s="702"/>
      <c r="W111" s="292">
        <v>6</v>
      </c>
      <c r="X111" s="150">
        <v>1.7</v>
      </c>
      <c r="AC111" s="702" t="s">
        <v>471</v>
      </c>
      <c r="AD111" s="702"/>
      <c r="AE111" s="702"/>
      <c r="AF111" s="292">
        <v>6</v>
      </c>
      <c r="AG111" s="150">
        <v>1.6</v>
      </c>
    </row>
    <row r="112" spans="1:73" ht="13.5" thickBot="1">
      <c r="B112" s="702" t="s">
        <v>472</v>
      </c>
      <c r="C112" s="702"/>
      <c r="D112" s="702"/>
      <c r="E112" s="292">
        <v>8</v>
      </c>
      <c r="F112" s="150">
        <v>2.1</v>
      </c>
      <c r="K112" s="702" t="s">
        <v>472</v>
      </c>
      <c r="L112" s="702"/>
      <c r="M112" s="702"/>
      <c r="N112" s="292">
        <v>8</v>
      </c>
      <c r="O112" s="150">
        <v>1.9</v>
      </c>
      <c r="T112" s="702" t="s">
        <v>472</v>
      </c>
      <c r="U112" s="702"/>
      <c r="V112" s="702"/>
      <c r="W112" s="292">
        <v>8</v>
      </c>
      <c r="X112" s="150">
        <v>1.6</v>
      </c>
      <c r="AC112" s="702" t="s">
        <v>472</v>
      </c>
      <c r="AD112" s="702"/>
      <c r="AE112" s="702"/>
      <c r="AF112" s="292">
        <v>8</v>
      </c>
      <c r="AG112" s="150">
        <v>1.5</v>
      </c>
    </row>
    <row r="113" spans="2:34" ht="13.5" thickBot="1">
      <c r="B113" s="701" t="s">
        <v>473</v>
      </c>
      <c r="C113" s="701"/>
      <c r="D113" s="701"/>
      <c r="E113" s="701"/>
      <c r="F113" s="701"/>
      <c r="G113" s="276">
        <v>1.95</v>
      </c>
      <c r="K113" s="701" t="s">
        <v>473</v>
      </c>
      <c r="L113" s="701"/>
      <c r="M113" s="701"/>
      <c r="N113" s="701"/>
      <c r="O113" s="701"/>
      <c r="P113" s="276">
        <v>1.8</v>
      </c>
      <c r="T113" s="701" t="s">
        <v>473</v>
      </c>
      <c r="U113" s="701"/>
      <c r="V113" s="701"/>
      <c r="W113" s="701"/>
      <c r="X113" s="701"/>
      <c r="Y113" s="276">
        <v>1.6</v>
      </c>
      <c r="AC113" s="701" t="s">
        <v>473</v>
      </c>
      <c r="AD113" s="701"/>
      <c r="AE113" s="701"/>
      <c r="AF113" s="701"/>
      <c r="AG113" s="701"/>
      <c r="AH113" s="276">
        <v>1.6</v>
      </c>
    </row>
    <row r="114" spans="2:34" ht="13.5" thickBot="1">
      <c r="B114" s="702" t="s">
        <v>474</v>
      </c>
      <c r="C114" s="702"/>
      <c r="D114" s="702"/>
      <c r="E114" s="292">
        <v>4</v>
      </c>
      <c r="F114" s="150">
        <v>2</v>
      </c>
      <c r="K114" s="702" t="s">
        <v>474</v>
      </c>
      <c r="L114" s="702"/>
      <c r="M114" s="702"/>
      <c r="N114" s="292">
        <v>4</v>
      </c>
      <c r="O114" s="150">
        <v>1.8</v>
      </c>
      <c r="T114" s="702" t="s">
        <v>474</v>
      </c>
      <c r="U114" s="702"/>
      <c r="V114" s="702"/>
      <c r="W114" s="292">
        <v>4</v>
      </c>
      <c r="X114" s="150">
        <v>1.6</v>
      </c>
      <c r="AC114" s="702" t="s">
        <v>474</v>
      </c>
      <c r="AD114" s="702"/>
      <c r="AE114" s="702"/>
      <c r="AF114" s="292">
        <v>4</v>
      </c>
      <c r="AG114" s="150">
        <v>1.6</v>
      </c>
    </row>
    <row r="115" spans="2:34" ht="13.5" thickBot="1">
      <c r="B115" s="702" t="s">
        <v>475</v>
      </c>
      <c r="C115" s="702"/>
      <c r="D115" s="702"/>
      <c r="E115" s="292">
        <v>6</v>
      </c>
      <c r="F115" s="150">
        <v>2</v>
      </c>
      <c r="K115" s="702" t="s">
        <v>475</v>
      </c>
      <c r="L115" s="702"/>
      <c r="M115" s="702"/>
      <c r="N115" s="292">
        <v>6</v>
      </c>
      <c r="O115" s="150">
        <v>1.8</v>
      </c>
      <c r="T115" s="702" t="s">
        <v>475</v>
      </c>
      <c r="U115" s="702"/>
      <c r="V115" s="702"/>
      <c r="W115" s="292">
        <v>6</v>
      </c>
      <c r="X115" s="150">
        <v>1.6</v>
      </c>
      <c r="AC115" s="702" t="s">
        <v>475</v>
      </c>
      <c r="AD115" s="702"/>
      <c r="AE115" s="702"/>
      <c r="AF115" s="292">
        <v>6</v>
      </c>
      <c r="AG115" s="150">
        <v>1.5</v>
      </c>
    </row>
    <row r="116" spans="2:34" ht="13.5" thickBot="1">
      <c r="B116" s="702" t="s">
        <v>476</v>
      </c>
      <c r="C116" s="702"/>
      <c r="D116" s="702"/>
      <c r="E116" s="292">
        <v>8</v>
      </c>
      <c r="F116" s="150">
        <v>1.9</v>
      </c>
      <c r="K116" s="702" t="s">
        <v>476</v>
      </c>
      <c r="L116" s="702"/>
      <c r="M116" s="702"/>
      <c r="N116" s="292">
        <v>8</v>
      </c>
      <c r="O116" s="150">
        <v>1.8</v>
      </c>
      <c r="T116" s="702" t="s">
        <v>476</v>
      </c>
      <c r="U116" s="702"/>
      <c r="V116" s="702"/>
      <c r="W116" s="292">
        <v>8</v>
      </c>
      <c r="X116" s="150">
        <v>1.6</v>
      </c>
      <c r="AC116" s="702" t="s">
        <v>476</v>
      </c>
      <c r="AD116" s="702"/>
      <c r="AE116" s="702"/>
      <c r="AF116" s="292">
        <v>8</v>
      </c>
      <c r="AG116" s="150">
        <v>1.5</v>
      </c>
    </row>
    <row r="117" spans="2:34" ht="13.5" thickBot="1">
      <c r="B117" s="701" t="s">
        <v>477</v>
      </c>
      <c r="C117" s="701"/>
      <c r="D117" s="701"/>
      <c r="E117" s="701"/>
      <c r="F117" s="701"/>
      <c r="G117" s="276">
        <v>1.9</v>
      </c>
      <c r="K117" s="701" t="s">
        <v>477</v>
      </c>
      <c r="L117" s="701"/>
      <c r="M117" s="701"/>
      <c r="N117" s="701"/>
      <c r="O117" s="701"/>
      <c r="P117" s="276">
        <v>1.7</v>
      </c>
      <c r="T117" s="701" t="s">
        <v>477</v>
      </c>
      <c r="U117" s="701"/>
      <c r="V117" s="701"/>
      <c r="W117" s="701"/>
      <c r="X117" s="701"/>
      <c r="Y117" s="276">
        <v>1.6</v>
      </c>
      <c r="AC117" s="701" t="s">
        <v>477</v>
      </c>
      <c r="AD117" s="701"/>
      <c r="AE117" s="701"/>
      <c r="AF117" s="701"/>
      <c r="AG117" s="701"/>
      <c r="AH117" s="276">
        <v>1.6</v>
      </c>
    </row>
    <row r="118" spans="2:34" ht="13.5" thickBot="1">
      <c r="B118" s="702" t="s">
        <v>478</v>
      </c>
      <c r="C118" s="702"/>
      <c r="D118" s="702"/>
      <c r="E118" s="292">
        <v>4</v>
      </c>
      <c r="F118" s="150">
        <v>1.9</v>
      </c>
      <c r="K118" s="702" t="s">
        <v>478</v>
      </c>
      <c r="L118" s="702"/>
      <c r="M118" s="702"/>
      <c r="N118" s="292">
        <v>4</v>
      </c>
      <c r="O118" s="150">
        <v>1.7</v>
      </c>
      <c r="T118" s="702" t="s">
        <v>478</v>
      </c>
      <c r="U118" s="702"/>
      <c r="V118" s="702"/>
      <c r="W118" s="292">
        <v>4</v>
      </c>
      <c r="X118" s="150">
        <v>1.6</v>
      </c>
      <c r="AC118" s="702" t="s">
        <v>478</v>
      </c>
      <c r="AD118" s="702"/>
      <c r="AE118" s="702"/>
      <c r="AF118" s="292">
        <v>4</v>
      </c>
      <c r="AG118" s="150">
        <v>1.6</v>
      </c>
    </row>
    <row r="119" spans="2:34" ht="13.5" thickBot="1">
      <c r="B119" s="702" t="s">
        <v>479</v>
      </c>
      <c r="C119" s="702"/>
      <c r="D119" s="702"/>
      <c r="E119" s="292">
        <v>6</v>
      </c>
      <c r="F119" s="150">
        <v>1.9</v>
      </c>
      <c r="K119" s="702" t="s">
        <v>479</v>
      </c>
      <c r="L119" s="702"/>
      <c r="M119" s="702"/>
      <c r="N119" s="292">
        <v>6</v>
      </c>
      <c r="O119" s="150">
        <v>1.7</v>
      </c>
      <c r="T119" s="702" t="s">
        <v>479</v>
      </c>
      <c r="U119" s="702"/>
      <c r="V119" s="702"/>
      <c r="W119" s="292">
        <v>6</v>
      </c>
      <c r="X119" s="150">
        <v>1.6</v>
      </c>
      <c r="AC119" s="702" t="s">
        <v>479</v>
      </c>
      <c r="AD119" s="702"/>
      <c r="AE119" s="702"/>
      <c r="AF119" s="292">
        <v>6</v>
      </c>
      <c r="AG119" s="150">
        <v>1.6</v>
      </c>
    </row>
    <row r="120" spans="2:34" ht="13.5" thickBot="1">
      <c r="B120" s="702" t="s">
        <v>480</v>
      </c>
      <c r="C120" s="702"/>
      <c r="D120" s="702"/>
      <c r="E120" s="292">
        <v>8</v>
      </c>
      <c r="F120" s="150">
        <v>1.9</v>
      </c>
      <c r="K120" s="702" t="s">
        <v>480</v>
      </c>
      <c r="L120" s="702"/>
      <c r="M120" s="702"/>
      <c r="N120" s="292">
        <v>8</v>
      </c>
      <c r="O120" s="150">
        <v>1.7</v>
      </c>
      <c r="T120" s="702" t="s">
        <v>480</v>
      </c>
      <c r="U120" s="702"/>
      <c r="V120" s="702"/>
      <c r="W120" s="292">
        <v>8</v>
      </c>
      <c r="X120" s="150">
        <v>1.6</v>
      </c>
      <c r="AC120" s="702" t="s">
        <v>480</v>
      </c>
      <c r="AD120" s="702"/>
      <c r="AE120" s="702"/>
      <c r="AF120" s="292">
        <v>8</v>
      </c>
      <c r="AG120" s="150">
        <v>1.5</v>
      </c>
    </row>
    <row r="121" spans="2:34" ht="13.5" thickBot="1">
      <c r="B121" s="701" t="s">
        <v>481</v>
      </c>
      <c r="C121" s="701"/>
      <c r="D121" s="701"/>
      <c r="E121" s="701"/>
      <c r="F121" s="701"/>
      <c r="G121" s="276">
        <v>1.8</v>
      </c>
      <c r="K121" s="701" t="s">
        <v>481</v>
      </c>
      <c r="L121" s="701"/>
      <c r="M121" s="701"/>
      <c r="N121" s="701"/>
      <c r="O121" s="701"/>
      <c r="P121" s="276">
        <v>1.7</v>
      </c>
      <c r="T121" s="701" t="s">
        <v>481</v>
      </c>
      <c r="U121" s="701"/>
      <c r="V121" s="701"/>
      <c r="W121" s="701"/>
      <c r="X121" s="701"/>
      <c r="Y121" s="276">
        <v>1.6</v>
      </c>
      <c r="AC121" s="701" t="s">
        <v>481</v>
      </c>
      <c r="AD121" s="701"/>
      <c r="AE121" s="701"/>
      <c r="AF121" s="701"/>
      <c r="AG121" s="701"/>
      <c r="AH121" s="276">
        <v>1.6</v>
      </c>
    </row>
    <row r="122" spans="2:34" ht="13.5" thickBot="1">
      <c r="B122" s="702" t="s">
        <v>482</v>
      </c>
      <c r="C122" s="702"/>
      <c r="D122" s="702"/>
      <c r="E122" s="292">
        <v>4</v>
      </c>
      <c r="F122" s="150">
        <v>1.8</v>
      </c>
      <c r="K122" s="702" t="s">
        <v>482</v>
      </c>
      <c r="L122" s="702"/>
      <c r="M122" s="702"/>
      <c r="N122" s="292">
        <v>4</v>
      </c>
      <c r="O122" s="150">
        <v>1.7</v>
      </c>
      <c r="T122" s="702" t="s">
        <v>482</v>
      </c>
      <c r="U122" s="702"/>
      <c r="V122" s="702"/>
      <c r="W122" s="292">
        <v>4</v>
      </c>
      <c r="X122" s="150">
        <v>1.6</v>
      </c>
      <c r="AC122" s="702" t="s">
        <v>482</v>
      </c>
      <c r="AD122" s="702"/>
      <c r="AE122" s="702"/>
      <c r="AF122" s="292">
        <v>4</v>
      </c>
      <c r="AG122" s="150">
        <v>1.6</v>
      </c>
    </row>
    <row r="123" spans="2:34" ht="13.5" thickBot="1">
      <c r="B123" s="702" t="s">
        <v>483</v>
      </c>
      <c r="C123" s="702"/>
      <c r="D123" s="702"/>
      <c r="E123" s="292">
        <v>6</v>
      </c>
      <c r="F123" s="150">
        <v>1.8</v>
      </c>
      <c r="K123" s="702" t="s">
        <v>483</v>
      </c>
      <c r="L123" s="702"/>
      <c r="M123" s="702"/>
      <c r="N123" s="292">
        <v>6</v>
      </c>
      <c r="O123" s="150">
        <v>1.7</v>
      </c>
      <c r="T123" s="702" t="s">
        <v>483</v>
      </c>
      <c r="U123" s="702"/>
      <c r="V123" s="702"/>
      <c r="W123" s="292">
        <v>6</v>
      </c>
      <c r="X123" s="150">
        <v>1.6</v>
      </c>
      <c r="AC123" s="702" t="s">
        <v>483</v>
      </c>
      <c r="AD123" s="702"/>
      <c r="AE123" s="702"/>
      <c r="AF123" s="292">
        <v>6</v>
      </c>
      <c r="AG123" s="150">
        <v>1.6</v>
      </c>
    </row>
    <row r="124" spans="2:34">
      <c r="B124" s="702" t="s">
        <v>484</v>
      </c>
      <c r="C124" s="702"/>
      <c r="D124" s="702"/>
      <c r="E124" s="292">
        <v>8</v>
      </c>
      <c r="F124" s="150">
        <v>1.8</v>
      </c>
      <c r="K124" s="702" t="s">
        <v>484</v>
      </c>
      <c r="L124" s="702"/>
      <c r="M124" s="702"/>
      <c r="N124" s="292">
        <v>8</v>
      </c>
      <c r="O124" s="150">
        <v>1.7</v>
      </c>
      <c r="T124" s="702" t="s">
        <v>484</v>
      </c>
      <c r="U124" s="702"/>
      <c r="V124" s="702"/>
      <c r="W124" s="292">
        <v>8</v>
      </c>
      <c r="X124" s="150">
        <v>1.6</v>
      </c>
      <c r="AC124" s="702" t="s">
        <v>484</v>
      </c>
      <c r="AD124" s="702"/>
      <c r="AE124" s="702"/>
      <c r="AF124" s="292">
        <v>8</v>
      </c>
      <c r="AG124" s="150">
        <v>1.5</v>
      </c>
    </row>
    <row r="126" spans="2:34">
      <c r="B126" s="698" t="s">
        <v>457</v>
      </c>
      <c r="C126" s="698"/>
      <c r="D126" s="698"/>
      <c r="E126" s="698"/>
      <c r="F126" s="698"/>
      <c r="G126" s="698"/>
      <c r="H126" s="698"/>
      <c r="I126" s="698"/>
      <c r="J126" s="698"/>
      <c r="K126" s="698"/>
      <c r="L126" s="698"/>
      <c r="M126" s="698"/>
      <c r="N126" s="698"/>
      <c r="O126" s="698"/>
      <c r="P126" s="698"/>
      <c r="Q126" s="698"/>
      <c r="R126" s="698"/>
      <c r="S126" s="698"/>
      <c r="T126" s="698"/>
      <c r="U126" s="698"/>
      <c r="V126" s="698"/>
      <c r="W126" s="698"/>
      <c r="X126" s="698"/>
      <c r="Y126" s="698"/>
      <c r="Z126" s="698"/>
      <c r="AA126" s="698"/>
      <c r="AB126" s="698"/>
      <c r="AC126" s="698"/>
      <c r="AD126" s="698"/>
      <c r="AE126" s="698"/>
      <c r="AF126" s="698"/>
      <c r="AG126" s="698"/>
      <c r="AH126" s="698"/>
    </row>
    <row r="127" spans="2:34" ht="13.5" customHeight="1" thickBot="1">
      <c r="B127" s="700" t="s">
        <v>260</v>
      </c>
      <c r="C127" s="700"/>
      <c r="D127" s="700"/>
      <c r="E127" s="700"/>
      <c r="F127" s="700"/>
      <c r="K127" s="700" t="s">
        <v>462</v>
      </c>
      <c r="L127" s="700"/>
      <c r="M127" s="700"/>
      <c r="N127" s="700"/>
      <c r="O127" s="700"/>
      <c r="T127" s="700" t="s">
        <v>463</v>
      </c>
      <c r="U127" s="700"/>
      <c r="V127" s="700"/>
      <c r="W127" s="700"/>
      <c r="X127" s="700"/>
      <c r="AC127" s="700" t="s">
        <v>463</v>
      </c>
      <c r="AD127" s="700"/>
      <c r="AE127" s="700"/>
      <c r="AF127" s="700"/>
      <c r="AG127" s="700"/>
    </row>
    <row r="128" spans="2:34" ht="13.5" thickBot="1">
      <c r="B128" s="701" t="s">
        <v>465</v>
      </c>
      <c r="C128" s="701"/>
      <c r="D128" s="701"/>
      <c r="E128" s="701"/>
      <c r="F128" s="701"/>
      <c r="G128" s="276"/>
      <c r="K128" s="701" t="s">
        <v>465</v>
      </c>
      <c r="L128" s="701"/>
      <c r="M128" s="701"/>
      <c r="N128" s="701"/>
      <c r="O128" s="701"/>
      <c r="P128" s="276"/>
      <c r="T128" s="701" t="s">
        <v>465</v>
      </c>
      <c r="U128" s="701"/>
      <c r="V128" s="701"/>
      <c r="W128" s="701"/>
      <c r="X128" s="701"/>
      <c r="Y128" s="276"/>
      <c r="AC128" s="701" t="s">
        <v>465</v>
      </c>
      <c r="AD128" s="701"/>
      <c r="AE128" s="701"/>
      <c r="AF128" s="701"/>
      <c r="AG128" s="701"/>
      <c r="AH128" s="276"/>
    </row>
    <row r="129" spans="2:34" ht="13.5" thickBot="1">
      <c r="B129" s="702" t="s">
        <v>466</v>
      </c>
      <c r="C129" s="702"/>
      <c r="D129" s="702"/>
      <c r="E129" s="292">
        <v>4</v>
      </c>
      <c r="F129" s="150">
        <v>1.9</v>
      </c>
      <c r="K129" s="702" t="s">
        <v>466</v>
      </c>
      <c r="L129" s="702"/>
      <c r="M129" s="702"/>
      <c r="N129" s="292">
        <v>4</v>
      </c>
      <c r="O129" s="150">
        <v>1.5</v>
      </c>
      <c r="T129" s="702" t="s">
        <v>466</v>
      </c>
      <c r="U129" s="702"/>
      <c r="V129" s="702"/>
      <c r="W129" s="292">
        <v>4</v>
      </c>
      <c r="X129" s="150">
        <v>1</v>
      </c>
      <c r="AC129" s="702" t="s">
        <v>466</v>
      </c>
      <c r="AD129" s="702"/>
      <c r="AE129" s="702"/>
      <c r="AF129" s="292">
        <v>4</v>
      </c>
      <c r="AG129" s="150">
        <v>0.7</v>
      </c>
    </row>
    <row r="130" spans="2:34" ht="13.5" thickBot="1">
      <c r="B130" s="702" t="s">
        <v>467</v>
      </c>
      <c r="C130" s="702"/>
      <c r="D130" s="702"/>
      <c r="E130" s="292">
        <v>6</v>
      </c>
      <c r="F130" s="150">
        <v>1.8</v>
      </c>
      <c r="K130" s="702" t="s">
        <v>467</v>
      </c>
      <c r="L130" s="702"/>
      <c r="M130" s="702"/>
      <c r="N130" s="292">
        <v>6</v>
      </c>
      <c r="O130" s="150">
        <v>1.5</v>
      </c>
      <c r="T130" s="702" t="s">
        <v>467</v>
      </c>
      <c r="U130" s="702"/>
      <c r="V130" s="702"/>
      <c r="W130" s="292">
        <v>6</v>
      </c>
      <c r="X130" s="150">
        <v>1</v>
      </c>
      <c r="AC130" s="702" t="s">
        <v>467</v>
      </c>
      <c r="AD130" s="702"/>
      <c r="AE130" s="702"/>
      <c r="AF130" s="292">
        <v>6</v>
      </c>
      <c r="AG130" s="150">
        <v>0.7</v>
      </c>
    </row>
    <row r="131" spans="2:34" ht="13.5" thickBot="1">
      <c r="B131" s="702" t="s">
        <v>468</v>
      </c>
      <c r="C131" s="702"/>
      <c r="D131" s="702"/>
      <c r="E131" s="292">
        <v>8</v>
      </c>
      <c r="F131" s="150">
        <v>1.8</v>
      </c>
      <c r="K131" s="702" t="s">
        <v>468</v>
      </c>
      <c r="L131" s="702"/>
      <c r="M131" s="702"/>
      <c r="N131" s="292">
        <v>8</v>
      </c>
      <c r="O131" s="150">
        <v>1.5</v>
      </c>
      <c r="T131" s="702" t="s">
        <v>468</v>
      </c>
      <c r="U131" s="702"/>
      <c r="V131" s="702"/>
      <c r="W131" s="292">
        <v>8</v>
      </c>
      <c r="X131" s="150">
        <v>1</v>
      </c>
      <c r="AC131" s="702" t="s">
        <v>468</v>
      </c>
      <c r="AD131" s="702"/>
      <c r="AE131" s="702"/>
      <c r="AF131" s="292">
        <v>8</v>
      </c>
      <c r="AG131" s="150">
        <v>0.7</v>
      </c>
    </row>
    <row r="132" spans="2:34" ht="13.5" thickBot="1">
      <c r="B132" s="701" t="s">
        <v>469</v>
      </c>
      <c r="C132" s="701"/>
      <c r="D132" s="701"/>
      <c r="E132" s="701"/>
      <c r="F132" s="701"/>
      <c r="G132" s="276"/>
      <c r="K132" s="701" t="s">
        <v>469</v>
      </c>
      <c r="L132" s="701"/>
      <c r="M132" s="701"/>
      <c r="N132" s="701"/>
      <c r="O132" s="701"/>
      <c r="P132" s="276"/>
      <c r="T132" s="701" t="s">
        <v>469</v>
      </c>
      <c r="U132" s="701"/>
      <c r="V132" s="701"/>
      <c r="W132" s="701"/>
      <c r="X132" s="701"/>
      <c r="Y132" s="276"/>
      <c r="AC132" s="701" t="s">
        <v>469</v>
      </c>
      <c r="AD132" s="701"/>
      <c r="AE132" s="701"/>
      <c r="AF132" s="701"/>
      <c r="AG132" s="701"/>
      <c r="AH132" s="276"/>
    </row>
    <row r="133" spans="2:34" ht="13.5" thickBot="1">
      <c r="B133" s="702" t="s">
        <v>470</v>
      </c>
      <c r="C133" s="702"/>
      <c r="D133" s="702"/>
      <c r="E133" s="292">
        <v>4</v>
      </c>
      <c r="F133" s="150">
        <v>1.6</v>
      </c>
      <c r="K133" s="702" t="s">
        <v>470</v>
      </c>
      <c r="L133" s="702"/>
      <c r="M133" s="702"/>
      <c r="N133" s="292">
        <v>4</v>
      </c>
      <c r="O133" s="150">
        <v>1.3</v>
      </c>
      <c r="T133" s="702" t="s">
        <v>470</v>
      </c>
      <c r="U133" s="702"/>
      <c r="V133" s="702"/>
      <c r="W133" s="292">
        <v>4</v>
      </c>
      <c r="X133" s="150">
        <v>0.9</v>
      </c>
      <c r="AC133" s="702" t="s">
        <v>470</v>
      </c>
      <c r="AD133" s="702"/>
      <c r="AE133" s="702"/>
      <c r="AF133" s="292">
        <v>4</v>
      </c>
      <c r="AG133" s="150">
        <v>0.7</v>
      </c>
    </row>
    <row r="134" spans="2:34" ht="13.5" thickBot="1">
      <c r="B134" s="702" t="s">
        <v>471</v>
      </c>
      <c r="C134" s="702"/>
      <c r="D134" s="702"/>
      <c r="E134" s="292">
        <v>6</v>
      </c>
      <c r="F134" s="150">
        <v>1.6</v>
      </c>
      <c r="K134" s="702" t="s">
        <v>471</v>
      </c>
      <c r="L134" s="702"/>
      <c r="M134" s="702"/>
      <c r="N134" s="292">
        <v>6</v>
      </c>
      <c r="O134" s="150">
        <v>1.3</v>
      </c>
      <c r="T134" s="702" t="s">
        <v>471</v>
      </c>
      <c r="U134" s="702"/>
      <c r="V134" s="702"/>
      <c r="W134" s="292">
        <v>6</v>
      </c>
      <c r="X134" s="150">
        <v>0.9</v>
      </c>
      <c r="AC134" s="702" t="s">
        <v>471</v>
      </c>
      <c r="AD134" s="702"/>
      <c r="AE134" s="702"/>
      <c r="AF134" s="292">
        <v>6</v>
      </c>
      <c r="AG134" s="150">
        <v>0.7</v>
      </c>
    </row>
    <row r="135" spans="2:34" ht="13.5" thickBot="1">
      <c r="B135" s="702" t="s">
        <v>472</v>
      </c>
      <c r="C135" s="702"/>
      <c r="D135" s="702"/>
      <c r="E135" s="292">
        <v>8</v>
      </c>
      <c r="F135" s="150">
        <v>1.6</v>
      </c>
      <c r="K135" s="702" t="s">
        <v>472</v>
      </c>
      <c r="L135" s="702"/>
      <c r="M135" s="702"/>
      <c r="N135" s="292">
        <v>8</v>
      </c>
      <c r="O135" s="150">
        <v>1.2</v>
      </c>
      <c r="T135" s="702" t="s">
        <v>472</v>
      </c>
      <c r="U135" s="702"/>
      <c r="V135" s="702"/>
      <c r="W135" s="292">
        <v>8</v>
      </c>
      <c r="X135" s="150">
        <v>0.9</v>
      </c>
      <c r="AC135" s="702" t="s">
        <v>472</v>
      </c>
      <c r="AD135" s="702"/>
      <c r="AE135" s="702"/>
      <c r="AF135" s="292">
        <v>8</v>
      </c>
      <c r="AG135" s="150">
        <v>0.7</v>
      </c>
    </row>
    <row r="136" spans="2:34" ht="13.5" thickBot="1">
      <c r="B136" s="701" t="s">
        <v>473</v>
      </c>
      <c r="C136" s="701"/>
      <c r="D136" s="701"/>
      <c r="E136" s="701"/>
      <c r="F136" s="701"/>
      <c r="G136" s="276"/>
      <c r="K136" s="701" t="s">
        <v>473</v>
      </c>
      <c r="L136" s="701"/>
      <c r="M136" s="701"/>
      <c r="N136" s="701"/>
      <c r="O136" s="701"/>
      <c r="P136" s="276"/>
      <c r="T136" s="701" t="s">
        <v>473</v>
      </c>
      <c r="U136" s="701"/>
      <c r="V136" s="701"/>
      <c r="W136" s="701"/>
      <c r="X136" s="701"/>
      <c r="Y136" s="276"/>
      <c r="AC136" s="701" t="s">
        <v>473</v>
      </c>
      <c r="AD136" s="701"/>
      <c r="AE136" s="701"/>
      <c r="AF136" s="701"/>
      <c r="AG136" s="701"/>
      <c r="AH136" s="276"/>
    </row>
    <row r="137" spans="2:34" ht="13.5" thickBot="1">
      <c r="B137" s="702" t="s">
        <v>474</v>
      </c>
      <c r="C137" s="702"/>
      <c r="D137" s="702"/>
      <c r="E137" s="292">
        <v>4</v>
      </c>
      <c r="F137" s="150">
        <v>1.4</v>
      </c>
      <c r="K137" s="702" t="s">
        <v>474</v>
      </c>
      <c r="L137" s="702"/>
      <c r="M137" s="702"/>
      <c r="N137" s="292">
        <v>4</v>
      </c>
      <c r="O137" s="150">
        <v>1.1000000000000001</v>
      </c>
      <c r="T137" s="702" t="s">
        <v>474</v>
      </c>
      <c r="U137" s="702"/>
      <c r="V137" s="702"/>
      <c r="W137" s="292">
        <v>4</v>
      </c>
      <c r="X137" s="150">
        <v>0.8</v>
      </c>
      <c r="AC137" s="702" t="s">
        <v>474</v>
      </c>
      <c r="AD137" s="702"/>
      <c r="AE137" s="702"/>
      <c r="AF137" s="292">
        <v>4</v>
      </c>
      <c r="AG137" s="150">
        <v>0.7</v>
      </c>
    </row>
    <row r="138" spans="2:34" ht="13.5" thickBot="1">
      <c r="B138" s="702" t="s">
        <v>475</v>
      </c>
      <c r="C138" s="702"/>
      <c r="D138" s="702"/>
      <c r="E138" s="292">
        <v>6</v>
      </c>
      <c r="F138" s="150">
        <v>1.4</v>
      </c>
      <c r="K138" s="702" t="s">
        <v>475</v>
      </c>
      <c r="L138" s="702"/>
      <c r="M138" s="702"/>
      <c r="N138" s="292">
        <v>6</v>
      </c>
      <c r="O138" s="150">
        <v>1.1000000000000001</v>
      </c>
      <c r="T138" s="702" t="s">
        <v>475</v>
      </c>
      <c r="U138" s="702"/>
      <c r="V138" s="702"/>
      <c r="W138" s="292">
        <v>6</v>
      </c>
      <c r="X138" s="150">
        <v>0.8</v>
      </c>
      <c r="AC138" s="702" t="s">
        <v>475</v>
      </c>
      <c r="AD138" s="702"/>
      <c r="AE138" s="702"/>
      <c r="AF138" s="292">
        <v>6</v>
      </c>
      <c r="AG138" s="150">
        <v>0.7</v>
      </c>
    </row>
    <row r="139" spans="2:34" ht="13.5" thickBot="1">
      <c r="B139" s="702" t="s">
        <v>476</v>
      </c>
      <c r="C139" s="702"/>
      <c r="D139" s="702"/>
      <c r="E139" s="292">
        <v>8</v>
      </c>
      <c r="F139" s="150">
        <v>1.4</v>
      </c>
      <c r="K139" s="702" t="s">
        <v>476</v>
      </c>
      <c r="L139" s="702"/>
      <c r="M139" s="702"/>
      <c r="N139" s="292">
        <v>8</v>
      </c>
      <c r="O139" s="150">
        <v>1.1000000000000001</v>
      </c>
      <c r="T139" s="702" t="s">
        <v>476</v>
      </c>
      <c r="U139" s="702"/>
      <c r="V139" s="702"/>
      <c r="W139" s="292">
        <v>8</v>
      </c>
      <c r="X139" s="150">
        <v>0.8</v>
      </c>
      <c r="AC139" s="702" t="s">
        <v>476</v>
      </c>
      <c r="AD139" s="702"/>
      <c r="AE139" s="702"/>
      <c r="AF139" s="292">
        <v>8</v>
      </c>
      <c r="AG139" s="150">
        <v>0.7</v>
      </c>
    </row>
    <row r="140" spans="2:34" ht="13.5" thickBot="1">
      <c r="B140" s="701" t="s">
        <v>477</v>
      </c>
      <c r="C140" s="701"/>
      <c r="D140" s="701"/>
      <c r="E140" s="701"/>
      <c r="F140" s="701"/>
      <c r="G140" s="276"/>
      <c r="K140" s="701" t="s">
        <v>477</v>
      </c>
      <c r="L140" s="701"/>
      <c r="M140" s="701"/>
      <c r="N140" s="701"/>
      <c r="O140" s="701"/>
      <c r="P140" s="276"/>
      <c r="T140" s="701" t="s">
        <v>477</v>
      </c>
      <c r="U140" s="701"/>
      <c r="V140" s="701"/>
      <c r="W140" s="701"/>
      <c r="X140" s="701"/>
      <c r="Y140" s="276"/>
      <c r="AC140" s="701" t="s">
        <v>477</v>
      </c>
      <c r="AD140" s="701"/>
      <c r="AE140" s="701"/>
      <c r="AF140" s="701"/>
      <c r="AG140" s="701"/>
      <c r="AH140" s="276"/>
    </row>
    <row r="141" spans="2:34" ht="13.5" thickBot="1">
      <c r="B141" s="702" t="s">
        <v>478</v>
      </c>
      <c r="C141" s="702"/>
      <c r="D141" s="702"/>
      <c r="E141" s="292">
        <v>4</v>
      </c>
      <c r="F141" s="150">
        <v>1.3</v>
      </c>
      <c r="K141" s="702" t="s">
        <v>478</v>
      </c>
      <c r="L141" s="702"/>
      <c r="M141" s="702"/>
      <c r="N141" s="292">
        <v>4</v>
      </c>
      <c r="O141" s="150">
        <v>1</v>
      </c>
      <c r="T141" s="702" t="s">
        <v>478</v>
      </c>
      <c r="U141" s="702"/>
      <c r="V141" s="702"/>
      <c r="W141" s="292">
        <v>4</v>
      </c>
      <c r="X141" s="150">
        <v>0.7</v>
      </c>
      <c r="AC141" s="702" t="s">
        <v>478</v>
      </c>
      <c r="AD141" s="702"/>
      <c r="AE141" s="702"/>
      <c r="AF141" s="292">
        <v>4</v>
      </c>
      <c r="AG141" s="150">
        <v>0.7</v>
      </c>
    </row>
    <row r="142" spans="2:34" ht="13.5" thickBot="1">
      <c r="B142" s="702" t="s">
        <v>479</v>
      </c>
      <c r="C142" s="702"/>
      <c r="D142" s="702"/>
      <c r="E142" s="292">
        <v>6</v>
      </c>
      <c r="F142" s="150">
        <v>1.2</v>
      </c>
      <c r="K142" s="702" t="s">
        <v>479</v>
      </c>
      <c r="L142" s="702"/>
      <c r="M142" s="702"/>
      <c r="N142" s="292">
        <v>6</v>
      </c>
      <c r="O142" s="150">
        <v>1</v>
      </c>
      <c r="T142" s="702" t="s">
        <v>479</v>
      </c>
      <c r="U142" s="702"/>
      <c r="V142" s="702"/>
      <c r="W142" s="292">
        <v>6</v>
      </c>
      <c r="X142" s="150">
        <v>0.7</v>
      </c>
      <c r="AC142" s="702" t="s">
        <v>479</v>
      </c>
      <c r="AD142" s="702"/>
      <c r="AE142" s="702"/>
      <c r="AF142" s="292">
        <v>6</v>
      </c>
      <c r="AG142" s="150">
        <v>0.7</v>
      </c>
    </row>
    <row r="143" spans="2:34" ht="13.5" thickBot="1">
      <c r="B143" s="702" t="s">
        <v>480</v>
      </c>
      <c r="C143" s="702"/>
      <c r="D143" s="702"/>
      <c r="E143" s="292">
        <v>8</v>
      </c>
      <c r="F143" s="150">
        <v>1.2</v>
      </c>
      <c r="K143" s="702" t="s">
        <v>480</v>
      </c>
      <c r="L143" s="702"/>
      <c r="M143" s="702"/>
      <c r="N143" s="292">
        <v>8</v>
      </c>
      <c r="O143" s="150">
        <v>1</v>
      </c>
      <c r="T143" s="702" t="s">
        <v>480</v>
      </c>
      <c r="U143" s="702"/>
      <c r="V143" s="702"/>
      <c r="W143" s="292">
        <v>8</v>
      </c>
      <c r="X143" s="150">
        <v>0.7</v>
      </c>
      <c r="AC143" s="702" t="s">
        <v>480</v>
      </c>
      <c r="AD143" s="702"/>
      <c r="AE143" s="702"/>
      <c r="AF143" s="292">
        <v>8</v>
      </c>
      <c r="AG143" s="150">
        <v>0.7</v>
      </c>
    </row>
    <row r="144" spans="2:34" ht="13.5" thickBot="1">
      <c r="B144" s="701" t="s">
        <v>481</v>
      </c>
      <c r="C144" s="701"/>
      <c r="D144" s="701"/>
      <c r="E144" s="701"/>
      <c r="F144" s="701"/>
      <c r="G144" s="276"/>
      <c r="K144" s="701" t="s">
        <v>481</v>
      </c>
      <c r="L144" s="701"/>
      <c r="M144" s="701"/>
      <c r="N144" s="701"/>
      <c r="O144" s="701"/>
      <c r="P144" s="276"/>
      <c r="T144" s="701" t="s">
        <v>481</v>
      </c>
      <c r="U144" s="701"/>
      <c r="V144" s="701"/>
      <c r="W144" s="701"/>
      <c r="X144" s="701"/>
      <c r="Y144" s="276"/>
      <c r="AC144" s="701" t="s">
        <v>481</v>
      </c>
      <c r="AD144" s="701"/>
      <c r="AE144" s="701"/>
      <c r="AF144" s="701"/>
      <c r="AG144" s="701"/>
      <c r="AH144" s="276"/>
    </row>
    <row r="145" spans="2:34" ht="13.5" thickBot="1">
      <c r="B145" s="702" t="s">
        <v>482</v>
      </c>
      <c r="C145" s="702"/>
      <c r="D145" s="702"/>
      <c r="E145" s="292">
        <v>4</v>
      </c>
      <c r="F145" s="150">
        <v>1.1000000000000001</v>
      </c>
      <c r="K145" s="702" t="s">
        <v>482</v>
      </c>
      <c r="L145" s="702"/>
      <c r="M145" s="702"/>
      <c r="N145" s="292">
        <v>4</v>
      </c>
      <c r="O145" s="150">
        <v>0.9</v>
      </c>
      <c r="T145" s="702" t="s">
        <v>482</v>
      </c>
      <c r="U145" s="702"/>
      <c r="V145" s="702"/>
      <c r="W145" s="292">
        <v>4</v>
      </c>
      <c r="X145" s="150">
        <v>0.8</v>
      </c>
      <c r="AC145" s="702" t="s">
        <v>482</v>
      </c>
      <c r="AD145" s="702"/>
      <c r="AE145" s="702"/>
      <c r="AF145" s="292">
        <v>4</v>
      </c>
      <c r="AG145" s="150">
        <v>0.7</v>
      </c>
    </row>
    <row r="146" spans="2:34" ht="13.5" thickBot="1">
      <c r="B146" s="702" t="s">
        <v>483</v>
      </c>
      <c r="C146" s="702"/>
      <c r="D146" s="702"/>
      <c r="E146" s="292">
        <v>6</v>
      </c>
      <c r="F146" s="150">
        <v>1.1000000000000001</v>
      </c>
      <c r="K146" s="702" t="s">
        <v>483</v>
      </c>
      <c r="L146" s="702"/>
      <c r="M146" s="702"/>
      <c r="N146" s="292">
        <v>6</v>
      </c>
      <c r="O146" s="150">
        <v>0.9</v>
      </c>
      <c r="T146" s="702" t="s">
        <v>483</v>
      </c>
      <c r="U146" s="702"/>
      <c r="V146" s="702"/>
      <c r="W146" s="292">
        <v>6</v>
      </c>
      <c r="X146" s="150">
        <v>0.7</v>
      </c>
      <c r="AC146" s="702" t="s">
        <v>483</v>
      </c>
      <c r="AD146" s="702"/>
      <c r="AE146" s="702"/>
      <c r="AF146" s="292">
        <v>6</v>
      </c>
      <c r="AG146" s="150">
        <v>0.7</v>
      </c>
    </row>
    <row r="147" spans="2:34">
      <c r="B147" s="702" t="s">
        <v>484</v>
      </c>
      <c r="C147" s="702"/>
      <c r="D147" s="702"/>
      <c r="E147" s="292">
        <v>8</v>
      </c>
      <c r="F147" s="150">
        <v>1.1000000000000001</v>
      </c>
      <c r="K147" s="702" t="s">
        <v>484</v>
      </c>
      <c r="L147" s="702"/>
      <c r="M147" s="702"/>
      <c r="N147" s="292">
        <v>8</v>
      </c>
      <c r="O147" s="150">
        <v>0.9</v>
      </c>
      <c r="T147" s="702" t="s">
        <v>484</v>
      </c>
      <c r="U147" s="702"/>
      <c r="V147" s="702"/>
      <c r="W147" s="292">
        <v>8</v>
      </c>
      <c r="X147" s="150">
        <v>0.7</v>
      </c>
      <c r="AC147" s="702" t="s">
        <v>484</v>
      </c>
      <c r="AD147" s="702"/>
      <c r="AE147" s="702"/>
      <c r="AF147" s="292">
        <v>8</v>
      </c>
      <c r="AG147" s="150">
        <v>0.7</v>
      </c>
    </row>
    <row r="149" spans="2:34">
      <c r="B149" s="698" t="s">
        <v>485</v>
      </c>
      <c r="C149" s="698"/>
      <c r="D149" s="698"/>
      <c r="E149" s="698"/>
      <c r="F149" s="698"/>
      <c r="G149" s="698"/>
      <c r="H149" s="698"/>
      <c r="I149" s="698"/>
      <c r="J149" s="698"/>
      <c r="K149" s="698"/>
      <c r="L149" s="698"/>
      <c r="M149" s="698"/>
      <c r="N149" s="698"/>
      <c r="O149" s="698"/>
      <c r="P149" s="698"/>
      <c r="Q149" s="698"/>
      <c r="R149" s="698"/>
      <c r="S149" s="698"/>
      <c r="T149" s="698"/>
      <c r="U149" s="698"/>
      <c r="V149" s="698"/>
      <c r="W149" s="698"/>
      <c r="X149" s="698"/>
      <c r="Y149" s="698"/>
      <c r="Z149" s="698"/>
      <c r="AA149" s="698"/>
      <c r="AB149" s="698"/>
      <c r="AC149" s="698"/>
      <c r="AD149" s="698"/>
      <c r="AE149" s="698"/>
      <c r="AF149" s="698"/>
      <c r="AG149" s="698"/>
      <c r="AH149" s="698"/>
    </row>
    <row r="150" spans="2:34" ht="13.5" thickBot="1">
      <c r="B150" s="700" t="s">
        <v>260</v>
      </c>
      <c r="C150" s="700"/>
      <c r="D150" s="700"/>
      <c r="E150" s="700"/>
      <c r="F150" s="700"/>
      <c r="K150" s="700" t="s">
        <v>462</v>
      </c>
      <c r="L150" s="700"/>
      <c r="M150" s="700"/>
      <c r="N150" s="700"/>
      <c r="O150" s="700"/>
      <c r="T150" s="700" t="s">
        <v>463</v>
      </c>
      <c r="U150" s="700"/>
      <c r="V150" s="700"/>
      <c r="W150" s="700"/>
      <c r="X150" s="700"/>
      <c r="AC150" s="700" t="s">
        <v>463</v>
      </c>
      <c r="AD150" s="700"/>
      <c r="AE150" s="700"/>
      <c r="AF150" s="700"/>
      <c r="AG150" s="700"/>
    </row>
    <row r="151" spans="2:34" ht="13.5" thickBot="1">
      <c r="B151" s="701" t="s">
        <v>465</v>
      </c>
      <c r="C151" s="701"/>
      <c r="D151" s="701"/>
      <c r="E151" s="701"/>
      <c r="F151" s="701"/>
      <c r="G151" s="276"/>
      <c r="K151" s="701" t="s">
        <v>465</v>
      </c>
      <c r="L151" s="701"/>
      <c r="M151" s="701"/>
      <c r="N151" s="701"/>
      <c r="O151" s="701"/>
      <c r="P151" s="276"/>
      <c r="T151" s="701" t="s">
        <v>465</v>
      </c>
      <c r="U151" s="701"/>
      <c r="V151" s="701"/>
      <c r="W151" s="701"/>
      <c r="X151" s="701"/>
      <c r="Y151" s="276"/>
      <c r="AC151" s="701" t="s">
        <v>465</v>
      </c>
      <c r="AD151" s="701"/>
      <c r="AE151" s="701"/>
      <c r="AF151" s="701"/>
      <c r="AG151" s="701"/>
      <c r="AH151" s="276"/>
    </row>
    <row r="152" spans="2:34" ht="13.5" thickBot="1">
      <c r="B152" s="702" t="s">
        <v>466</v>
      </c>
      <c r="C152" s="702"/>
      <c r="D152" s="702"/>
      <c r="E152" s="292">
        <v>4</v>
      </c>
      <c r="F152" s="150">
        <v>1.6</v>
      </c>
      <c r="K152" s="702" t="s">
        <v>466</v>
      </c>
      <c r="L152" s="702"/>
      <c r="M152" s="702"/>
      <c r="N152" s="292">
        <v>4</v>
      </c>
      <c r="O152" s="150">
        <v>1.2</v>
      </c>
      <c r="T152" s="702" t="s">
        <v>466</v>
      </c>
      <c r="U152" s="702"/>
      <c r="V152" s="702"/>
      <c r="W152" s="292">
        <v>4</v>
      </c>
      <c r="X152" s="150">
        <v>0.7</v>
      </c>
      <c r="AC152" s="702" t="s">
        <v>466</v>
      </c>
      <c r="AD152" s="702"/>
      <c r="AE152" s="702"/>
      <c r="AF152" s="292">
        <v>4</v>
      </c>
      <c r="AG152" s="150">
        <v>0.5</v>
      </c>
    </row>
    <row r="153" spans="2:34" ht="13.5" thickBot="1">
      <c r="B153" s="702" t="s">
        <v>467</v>
      </c>
      <c r="C153" s="702"/>
      <c r="D153" s="702"/>
      <c r="E153" s="292">
        <v>6</v>
      </c>
      <c r="F153" s="150">
        <v>1.5</v>
      </c>
      <c r="K153" s="702" t="s">
        <v>467</v>
      </c>
      <c r="L153" s="702"/>
      <c r="M153" s="702"/>
      <c r="N153" s="292">
        <v>6</v>
      </c>
      <c r="O153" s="150">
        <v>1.2</v>
      </c>
      <c r="T153" s="702" t="s">
        <v>467</v>
      </c>
      <c r="U153" s="702"/>
      <c r="V153" s="702"/>
      <c r="W153" s="292">
        <v>6</v>
      </c>
      <c r="X153" s="150">
        <v>0.7</v>
      </c>
      <c r="AC153" s="702" t="s">
        <v>467</v>
      </c>
      <c r="AD153" s="702"/>
      <c r="AE153" s="702"/>
      <c r="AF153" s="292">
        <v>6</v>
      </c>
      <c r="AG153" s="150">
        <v>0.5</v>
      </c>
    </row>
    <row r="154" spans="2:34" ht="13.5" thickBot="1">
      <c r="B154" s="702" t="s">
        <v>468</v>
      </c>
      <c r="C154" s="702"/>
      <c r="D154" s="702"/>
      <c r="E154" s="292">
        <v>8</v>
      </c>
      <c r="F154" s="150">
        <v>1.5</v>
      </c>
      <c r="K154" s="702" t="s">
        <v>468</v>
      </c>
      <c r="L154" s="702"/>
      <c r="M154" s="702"/>
      <c r="N154" s="292">
        <v>8</v>
      </c>
      <c r="O154" s="150">
        <v>1.2</v>
      </c>
      <c r="T154" s="702" t="s">
        <v>468</v>
      </c>
      <c r="U154" s="702"/>
      <c r="V154" s="702"/>
      <c r="W154" s="292">
        <v>8</v>
      </c>
      <c r="X154" s="150">
        <v>0.7</v>
      </c>
      <c r="AC154" s="702" t="s">
        <v>468</v>
      </c>
      <c r="AD154" s="702"/>
      <c r="AE154" s="702"/>
      <c r="AF154" s="292">
        <v>8</v>
      </c>
      <c r="AG154" s="150">
        <v>0.5</v>
      </c>
    </row>
    <row r="155" spans="2:34" ht="13.5" thickBot="1">
      <c r="B155" s="701" t="s">
        <v>469</v>
      </c>
      <c r="C155" s="701"/>
      <c r="D155" s="701"/>
      <c r="E155" s="701"/>
      <c r="F155" s="701"/>
      <c r="G155" s="276"/>
      <c r="K155" s="701" t="s">
        <v>469</v>
      </c>
      <c r="L155" s="701"/>
      <c r="M155" s="701"/>
      <c r="N155" s="701"/>
      <c r="O155" s="701"/>
      <c r="P155" s="276"/>
      <c r="T155" s="701" t="s">
        <v>469</v>
      </c>
      <c r="U155" s="701"/>
      <c r="V155" s="701"/>
      <c r="W155" s="701"/>
      <c r="X155" s="701"/>
      <c r="Y155" s="276"/>
      <c r="AC155" s="701" t="s">
        <v>469</v>
      </c>
      <c r="AD155" s="701"/>
      <c r="AE155" s="701"/>
      <c r="AF155" s="701"/>
      <c r="AG155" s="701"/>
      <c r="AH155" s="276"/>
    </row>
    <row r="156" spans="2:34" ht="13.5" thickBot="1">
      <c r="B156" s="702" t="s">
        <v>470</v>
      </c>
      <c r="C156" s="702"/>
      <c r="D156" s="702"/>
      <c r="E156" s="292">
        <v>4</v>
      </c>
      <c r="F156" s="150">
        <v>1.3</v>
      </c>
      <c r="K156" s="702" t="s">
        <v>470</v>
      </c>
      <c r="L156" s="702"/>
      <c r="M156" s="702"/>
      <c r="N156" s="292">
        <v>4</v>
      </c>
      <c r="O156" s="150">
        <v>0.9</v>
      </c>
      <c r="T156" s="702" t="s">
        <v>470</v>
      </c>
      <c r="U156" s="702"/>
      <c r="V156" s="702"/>
      <c r="W156" s="292">
        <v>4</v>
      </c>
      <c r="X156" s="150">
        <v>0.6</v>
      </c>
      <c r="AC156" s="702" t="s">
        <v>470</v>
      </c>
      <c r="AD156" s="702"/>
      <c r="AE156" s="702"/>
      <c r="AF156" s="292">
        <v>4</v>
      </c>
      <c r="AG156" s="150">
        <v>0.4</v>
      </c>
    </row>
    <row r="157" spans="2:34" ht="13.5" thickBot="1">
      <c r="B157" s="702" t="s">
        <v>471</v>
      </c>
      <c r="C157" s="702"/>
      <c r="D157" s="702"/>
      <c r="E157" s="292">
        <v>6</v>
      </c>
      <c r="F157" s="150">
        <v>1.3</v>
      </c>
      <c r="K157" s="702" t="s">
        <v>471</v>
      </c>
      <c r="L157" s="702"/>
      <c r="M157" s="702"/>
      <c r="N157" s="292">
        <v>6</v>
      </c>
      <c r="O157" s="150">
        <v>0.9</v>
      </c>
      <c r="T157" s="702" t="s">
        <v>471</v>
      </c>
      <c r="U157" s="702"/>
      <c r="V157" s="702"/>
      <c r="W157" s="292">
        <v>6</v>
      </c>
      <c r="X157" s="150">
        <v>0.6</v>
      </c>
      <c r="AC157" s="702" t="s">
        <v>471</v>
      </c>
      <c r="AD157" s="702"/>
      <c r="AE157" s="702"/>
      <c r="AF157" s="292">
        <v>6</v>
      </c>
      <c r="AG157" s="150">
        <v>0.4</v>
      </c>
    </row>
    <row r="158" spans="2:34" ht="13.5" thickBot="1">
      <c r="B158" s="702" t="s">
        <v>472</v>
      </c>
      <c r="C158" s="702"/>
      <c r="D158" s="702"/>
      <c r="E158" s="292">
        <v>8</v>
      </c>
      <c r="F158" s="150">
        <v>1.3</v>
      </c>
      <c r="K158" s="702" t="s">
        <v>472</v>
      </c>
      <c r="L158" s="702"/>
      <c r="M158" s="702"/>
      <c r="N158" s="292">
        <v>8</v>
      </c>
      <c r="O158" s="150">
        <v>0.9</v>
      </c>
      <c r="T158" s="702" t="s">
        <v>472</v>
      </c>
      <c r="U158" s="702"/>
      <c r="V158" s="702"/>
      <c r="W158" s="292">
        <v>8</v>
      </c>
      <c r="X158" s="150">
        <v>0.6</v>
      </c>
      <c r="AC158" s="702" t="s">
        <v>472</v>
      </c>
      <c r="AD158" s="702"/>
      <c r="AE158" s="702"/>
      <c r="AF158" s="292">
        <v>8</v>
      </c>
      <c r="AG158" s="150">
        <v>0.4</v>
      </c>
    </row>
    <row r="159" spans="2:34" ht="13.5" thickBot="1">
      <c r="B159" s="701" t="s">
        <v>473</v>
      </c>
      <c r="C159" s="701"/>
      <c r="D159" s="701"/>
      <c r="E159" s="701"/>
      <c r="F159" s="701"/>
      <c r="G159" s="276"/>
      <c r="K159" s="701" t="s">
        <v>473</v>
      </c>
      <c r="L159" s="701"/>
      <c r="M159" s="701"/>
      <c r="N159" s="701"/>
      <c r="O159" s="701"/>
      <c r="P159" s="276"/>
      <c r="T159" s="701" t="s">
        <v>473</v>
      </c>
      <c r="U159" s="701"/>
      <c r="V159" s="701"/>
      <c r="W159" s="701"/>
      <c r="X159" s="701"/>
      <c r="Y159" s="276"/>
      <c r="AC159" s="701" t="s">
        <v>473</v>
      </c>
      <c r="AD159" s="701"/>
      <c r="AE159" s="701"/>
      <c r="AF159" s="701"/>
      <c r="AG159" s="701"/>
      <c r="AH159" s="276"/>
    </row>
    <row r="160" spans="2:34" ht="13.5" thickBot="1">
      <c r="B160" s="702" t="s">
        <v>474</v>
      </c>
      <c r="C160" s="702"/>
      <c r="D160" s="702"/>
      <c r="E160" s="292">
        <v>4</v>
      </c>
      <c r="F160" s="150">
        <v>1.1000000000000001</v>
      </c>
      <c r="K160" s="702" t="s">
        <v>474</v>
      </c>
      <c r="L160" s="702"/>
      <c r="M160" s="702"/>
      <c r="N160" s="292">
        <v>4</v>
      </c>
      <c r="O160" s="150">
        <v>0.8</v>
      </c>
      <c r="T160" s="702" t="s">
        <v>474</v>
      </c>
      <c r="U160" s="702"/>
      <c r="V160" s="702"/>
      <c r="W160" s="292">
        <v>4</v>
      </c>
      <c r="X160" s="150">
        <v>0.5</v>
      </c>
      <c r="AC160" s="702" t="s">
        <v>474</v>
      </c>
      <c r="AD160" s="702"/>
      <c r="AE160" s="702"/>
      <c r="AF160" s="292">
        <v>4</v>
      </c>
      <c r="AG160" s="150">
        <v>0.4</v>
      </c>
    </row>
    <row r="161" spans="2:34" ht="13.5" thickBot="1">
      <c r="B161" s="702" t="s">
        <v>475</v>
      </c>
      <c r="C161" s="702"/>
      <c r="D161" s="702"/>
      <c r="E161" s="292">
        <v>6</v>
      </c>
      <c r="F161" s="150">
        <v>1.1000000000000001</v>
      </c>
      <c r="K161" s="702" t="s">
        <v>475</v>
      </c>
      <c r="L161" s="702"/>
      <c r="M161" s="702"/>
      <c r="N161" s="292">
        <v>6</v>
      </c>
      <c r="O161" s="150">
        <v>0.8</v>
      </c>
      <c r="T161" s="702" t="s">
        <v>475</v>
      </c>
      <c r="U161" s="702"/>
      <c r="V161" s="702"/>
      <c r="W161" s="292">
        <v>6</v>
      </c>
      <c r="X161" s="150">
        <v>0.5</v>
      </c>
      <c r="AC161" s="702" t="s">
        <v>475</v>
      </c>
      <c r="AD161" s="702"/>
      <c r="AE161" s="702"/>
      <c r="AF161" s="292">
        <v>6</v>
      </c>
      <c r="AG161" s="150">
        <v>0.4</v>
      </c>
    </row>
    <row r="162" spans="2:34" ht="13.5" thickBot="1">
      <c r="B162" s="702" t="s">
        <v>476</v>
      </c>
      <c r="C162" s="702"/>
      <c r="D162" s="702"/>
      <c r="E162" s="292">
        <v>8</v>
      </c>
      <c r="F162" s="150">
        <v>1.1000000000000001</v>
      </c>
      <c r="K162" s="702" t="s">
        <v>476</v>
      </c>
      <c r="L162" s="702"/>
      <c r="M162" s="702"/>
      <c r="N162" s="292">
        <v>8</v>
      </c>
      <c r="O162" s="150">
        <v>0.8</v>
      </c>
      <c r="T162" s="702" t="s">
        <v>476</v>
      </c>
      <c r="U162" s="702"/>
      <c r="V162" s="702"/>
      <c r="W162" s="292">
        <v>8</v>
      </c>
      <c r="X162" s="150">
        <v>0.5</v>
      </c>
      <c r="AC162" s="702" t="s">
        <v>476</v>
      </c>
      <c r="AD162" s="702"/>
      <c r="AE162" s="702"/>
      <c r="AF162" s="292">
        <v>8</v>
      </c>
      <c r="AG162" s="150">
        <v>0.4</v>
      </c>
    </row>
    <row r="163" spans="2:34" ht="13.5" thickBot="1">
      <c r="B163" s="701" t="s">
        <v>477</v>
      </c>
      <c r="C163" s="701"/>
      <c r="D163" s="701"/>
      <c r="E163" s="701"/>
      <c r="F163" s="701"/>
      <c r="G163" s="276"/>
      <c r="K163" s="701" t="s">
        <v>477</v>
      </c>
      <c r="L163" s="701"/>
      <c r="M163" s="701"/>
      <c r="N163" s="701"/>
      <c r="O163" s="701"/>
      <c r="P163" s="276"/>
      <c r="T163" s="701" t="s">
        <v>477</v>
      </c>
      <c r="U163" s="701"/>
      <c r="V163" s="701"/>
      <c r="W163" s="701"/>
      <c r="X163" s="701"/>
      <c r="Y163" s="276"/>
      <c r="AC163" s="701" t="s">
        <v>477</v>
      </c>
      <c r="AD163" s="701"/>
      <c r="AE163" s="701"/>
      <c r="AF163" s="701"/>
      <c r="AG163" s="701"/>
      <c r="AH163" s="276"/>
    </row>
    <row r="164" spans="2:34" ht="13.5" thickBot="1">
      <c r="B164" s="702" t="s">
        <v>478</v>
      </c>
      <c r="C164" s="702"/>
      <c r="D164" s="702"/>
      <c r="E164" s="292">
        <v>4</v>
      </c>
      <c r="F164" s="150">
        <v>0.9</v>
      </c>
      <c r="K164" s="702" t="s">
        <v>478</v>
      </c>
      <c r="L164" s="702"/>
      <c r="M164" s="702"/>
      <c r="N164" s="292">
        <v>4</v>
      </c>
      <c r="O164" s="150">
        <v>0.7</v>
      </c>
      <c r="T164" s="702" t="s">
        <v>478</v>
      </c>
      <c r="U164" s="702"/>
      <c r="V164" s="702"/>
      <c r="W164" s="292">
        <v>4</v>
      </c>
      <c r="X164" s="150">
        <v>0.4</v>
      </c>
      <c r="AC164" s="702" t="s">
        <v>478</v>
      </c>
      <c r="AD164" s="702"/>
      <c r="AE164" s="702"/>
      <c r="AF164" s="292">
        <v>4</v>
      </c>
      <c r="AG164" s="150">
        <v>0.4</v>
      </c>
    </row>
    <row r="165" spans="2:34" ht="13.5" thickBot="1">
      <c r="B165" s="702" t="s">
        <v>479</v>
      </c>
      <c r="C165" s="702"/>
      <c r="D165" s="702"/>
      <c r="E165" s="292">
        <v>6</v>
      </c>
      <c r="F165" s="150">
        <v>0.9</v>
      </c>
      <c r="K165" s="702" t="s">
        <v>479</v>
      </c>
      <c r="L165" s="702"/>
      <c r="M165" s="702"/>
      <c r="N165" s="292">
        <v>6</v>
      </c>
      <c r="O165" s="150">
        <v>0.7</v>
      </c>
      <c r="T165" s="702" t="s">
        <v>479</v>
      </c>
      <c r="U165" s="702"/>
      <c r="V165" s="702"/>
      <c r="W165" s="292">
        <v>6</v>
      </c>
      <c r="X165" s="150">
        <v>0.4</v>
      </c>
      <c r="AC165" s="702" t="s">
        <v>479</v>
      </c>
      <c r="AD165" s="702"/>
      <c r="AE165" s="702"/>
      <c r="AF165" s="292">
        <v>6</v>
      </c>
      <c r="AG165" s="150">
        <v>0.4</v>
      </c>
    </row>
    <row r="166" spans="2:34" ht="13.5" thickBot="1">
      <c r="B166" s="702" t="s">
        <v>480</v>
      </c>
      <c r="C166" s="702"/>
      <c r="D166" s="702"/>
      <c r="E166" s="292">
        <v>8</v>
      </c>
      <c r="F166" s="150">
        <v>0.9</v>
      </c>
      <c r="K166" s="702" t="s">
        <v>480</v>
      </c>
      <c r="L166" s="702"/>
      <c r="M166" s="702"/>
      <c r="N166" s="292">
        <v>8</v>
      </c>
      <c r="O166" s="150">
        <v>0.7</v>
      </c>
      <c r="T166" s="702" t="s">
        <v>480</v>
      </c>
      <c r="U166" s="702"/>
      <c r="V166" s="702"/>
      <c r="W166" s="292">
        <v>8</v>
      </c>
      <c r="X166" s="150">
        <v>0.4</v>
      </c>
      <c r="AC166" s="702" t="s">
        <v>480</v>
      </c>
      <c r="AD166" s="702"/>
      <c r="AE166" s="702"/>
      <c r="AF166" s="292">
        <v>8</v>
      </c>
      <c r="AG166" s="150">
        <v>0.4</v>
      </c>
    </row>
    <row r="167" spans="2:34" ht="13.5" thickBot="1">
      <c r="B167" s="701" t="s">
        <v>481</v>
      </c>
      <c r="C167" s="701"/>
      <c r="D167" s="701"/>
      <c r="E167" s="701"/>
      <c r="F167" s="701"/>
      <c r="G167" s="276"/>
      <c r="K167" s="701" t="s">
        <v>481</v>
      </c>
      <c r="L167" s="701"/>
      <c r="M167" s="701"/>
      <c r="N167" s="701"/>
      <c r="O167" s="701"/>
      <c r="P167" s="276"/>
      <c r="T167" s="701" t="s">
        <v>481</v>
      </c>
      <c r="U167" s="701"/>
      <c r="V167" s="701"/>
      <c r="W167" s="701"/>
      <c r="X167" s="701"/>
      <c r="Y167" s="276"/>
      <c r="AC167" s="701" t="s">
        <v>481</v>
      </c>
      <c r="AD167" s="701"/>
      <c r="AE167" s="701"/>
      <c r="AF167" s="701"/>
      <c r="AG167" s="701"/>
      <c r="AH167" s="276"/>
    </row>
    <row r="168" spans="2:34" ht="13.5" thickBot="1">
      <c r="B168" s="702" t="s">
        <v>482</v>
      </c>
      <c r="C168" s="702"/>
      <c r="D168" s="702"/>
      <c r="E168" s="292">
        <v>4</v>
      </c>
      <c r="F168" s="150">
        <v>0.8</v>
      </c>
      <c r="K168" s="702" t="s">
        <v>482</v>
      </c>
      <c r="L168" s="702"/>
      <c r="M168" s="702"/>
      <c r="N168" s="292">
        <v>4</v>
      </c>
      <c r="O168" s="150">
        <v>0.6</v>
      </c>
      <c r="T168" s="702" t="s">
        <v>482</v>
      </c>
      <c r="U168" s="702"/>
      <c r="V168" s="702"/>
      <c r="W168" s="292">
        <v>4</v>
      </c>
      <c r="X168" s="150">
        <v>0.4</v>
      </c>
      <c r="AC168" s="702" t="s">
        <v>482</v>
      </c>
      <c r="AD168" s="702"/>
      <c r="AE168" s="702"/>
      <c r="AF168" s="292">
        <v>4</v>
      </c>
      <c r="AG168" s="150">
        <v>0.4</v>
      </c>
    </row>
    <row r="169" spans="2:34" ht="13.5" thickBot="1">
      <c r="B169" s="702" t="s">
        <v>483</v>
      </c>
      <c r="C169" s="702"/>
      <c r="D169" s="702"/>
      <c r="E169" s="292">
        <v>6</v>
      </c>
      <c r="F169" s="150">
        <v>0.8</v>
      </c>
      <c r="K169" s="702" t="s">
        <v>483</v>
      </c>
      <c r="L169" s="702"/>
      <c r="M169" s="702"/>
      <c r="N169" s="292">
        <v>6</v>
      </c>
      <c r="O169" s="150">
        <v>0.6</v>
      </c>
      <c r="T169" s="702" t="s">
        <v>483</v>
      </c>
      <c r="U169" s="702"/>
      <c r="V169" s="702"/>
      <c r="W169" s="292">
        <v>6</v>
      </c>
      <c r="X169" s="150">
        <v>0.4</v>
      </c>
      <c r="AC169" s="702" t="s">
        <v>483</v>
      </c>
      <c r="AD169" s="702"/>
      <c r="AE169" s="702"/>
      <c r="AF169" s="292">
        <v>6</v>
      </c>
      <c r="AG169" s="150">
        <v>0.4</v>
      </c>
    </row>
    <row r="170" spans="2:34">
      <c r="B170" s="702" t="s">
        <v>484</v>
      </c>
      <c r="C170" s="702"/>
      <c r="D170" s="702"/>
      <c r="E170" s="292">
        <v>8</v>
      </c>
      <c r="F170" s="150">
        <v>0.8</v>
      </c>
      <c r="K170" s="702" t="s">
        <v>484</v>
      </c>
      <c r="L170" s="702"/>
      <c r="M170" s="702"/>
      <c r="N170" s="292">
        <v>8</v>
      </c>
      <c r="O170" s="150">
        <v>0.6</v>
      </c>
      <c r="T170" s="702" t="s">
        <v>484</v>
      </c>
      <c r="U170" s="702"/>
      <c r="V170" s="702"/>
      <c r="W170" s="292">
        <v>8</v>
      </c>
      <c r="X170" s="150">
        <v>0.4</v>
      </c>
      <c r="AC170" s="702" t="s">
        <v>484</v>
      </c>
      <c r="AD170" s="702"/>
      <c r="AE170" s="702"/>
      <c r="AF170" s="292">
        <v>8</v>
      </c>
      <c r="AG170" s="150">
        <v>0.4</v>
      </c>
    </row>
  </sheetData>
  <mergeCells count="435">
    <mergeCell ref="CL31:CM31"/>
    <mergeCell ref="CH25:CI25"/>
    <mergeCell ref="CH26:CI26"/>
    <mergeCell ref="B170:D170"/>
    <mergeCell ref="K170:M170"/>
    <mergeCell ref="T170:V170"/>
    <mergeCell ref="AC170:AE170"/>
    <mergeCell ref="BY46:CC46"/>
    <mergeCell ref="BY54:CC54"/>
    <mergeCell ref="BY62:CC62"/>
    <mergeCell ref="B169:D169"/>
    <mergeCell ref="K169:M169"/>
    <mergeCell ref="T169:V169"/>
    <mergeCell ref="AC169:AE169"/>
    <mergeCell ref="T156:V156"/>
    <mergeCell ref="AC156:AE156"/>
    <mergeCell ref="T160:V160"/>
    <mergeCell ref="AC160:AE160"/>
    <mergeCell ref="B155:F155"/>
    <mergeCell ref="K155:O155"/>
    <mergeCell ref="T155:X155"/>
    <mergeCell ref="AC155:AG155"/>
    <mergeCell ref="B157:D157"/>
    <mergeCell ref="B145:D145"/>
    <mergeCell ref="K145:M145"/>
    <mergeCell ref="B166:D166"/>
    <mergeCell ref="K166:M166"/>
    <mergeCell ref="T166:V166"/>
    <mergeCell ref="AC166:AE166"/>
    <mergeCell ref="B168:D168"/>
    <mergeCell ref="K168:M168"/>
    <mergeCell ref="T168:V168"/>
    <mergeCell ref="AC168:AE168"/>
    <mergeCell ref="B161:D161"/>
    <mergeCell ref="K161:M161"/>
    <mergeCell ref="T161:V161"/>
    <mergeCell ref="AC161:AE161"/>
    <mergeCell ref="B164:D164"/>
    <mergeCell ref="K164:M164"/>
    <mergeCell ref="T164:V164"/>
    <mergeCell ref="AC164:AE164"/>
    <mergeCell ref="B162:D162"/>
    <mergeCell ref="K162:M162"/>
    <mergeCell ref="T162:V162"/>
    <mergeCell ref="AC162:AE162"/>
    <mergeCell ref="AC153:AE153"/>
    <mergeCell ref="B154:D154"/>
    <mergeCell ref="K154:M154"/>
    <mergeCell ref="B117:F117"/>
    <mergeCell ref="T145:V145"/>
    <mergeCell ref="AC145:AE145"/>
    <mergeCell ref="B146:D146"/>
    <mergeCell ref="K146:M146"/>
    <mergeCell ref="T146:V146"/>
    <mergeCell ref="AC146:AE146"/>
    <mergeCell ref="K110:M110"/>
    <mergeCell ref="K111:M111"/>
    <mergeCell ref="K112:M112"/>
    <mergeCell ref="K116:M116"/>
    <mergeCell ref="K118:M118"/>
    <mergeCell ref="K119:M119"/>
    <mergeCell ref="T135:V135"/>
    <mergeCell ref="AC135:AE135"/>
    <mergeCell ref="AC142:AE142"/>
    <mergeCell ref="T140:X140"/>
    <mergeCell ref="AC140:AG140"/>
    <mergeCell ref="T134:V134"/>
    <mergeCell ref="AC134:AE134"/>
    <mergeCell ref="T132:X132"/>
    <mergeCell ref="AC132:AG132"/>
    <mergeCell ref="AC137:AE137"/>
    <mergeCell ref="AC143:AE143"/>
    <mergeCell ref="T154:V154"/>
    <mergeCell ref="AC154:AE154"/>
    <mergeCell ref="B156:D156"/>
    <mergeCell ref="K156:M156"/>
    <mergeCell ref="K120:M120"/>
    <mergeCell ref="K122:M122"/>
    <mergeCell ref="K123:M123"/>
    <mergeCell ref="K124:M124"/>
    <mergeCell ref="B121:F121"/>
    <mergeCell ref="K144:O144"/>
    <mergeCell ref="T153:V153"/>
    <mergeCell ref="T147:V147"/>
    <mergeCell ref="B142:D142"/>
    <mergeCell ref="K142:M142"/>
    <mergeCell ref="T142:V142"/>
    <mergeCell ref="B143:D143"/>
    <mergeCell ref="K143:M143"/>
    <mergeCell ref="T143:V143"/>
    <mergeCell ref="B136:F136"/>
    <mergeCell ref="K136:O136"/>
    <mergeCell ref="T129:V129"/>
    <mergeCell ref="AC129:AE129"/>
    <mergeCell ref="B135:D135"/>
    <mergeCell ref="K135:M135"/>
    <mergeCell ref="K160:M160"/>
    <mergeCell ref="BW1:CB1"/>
    <mergeCell ref="B167:F167"/>
    <mergeCell ref="K167:O167"/>
    <mergeCell ref="T167:X167"/>
    <mergeCell ref="AC167:AG167"/>
    <mergeCell ref="B163:F163"/>
    <mergeCell ref="K163:O163"/>
    <mergeCell ref="T163:X163"/>
    <mergeCell ref="AC163:AG163"/>
    <mergeCell ref="B165:D165"/>
    <mergeCell ref="K165:M165"/>
    <mergeCell ref="T165:V165"/>
    <mergeCell ref="AC165:AE165"/>
    <mergeCell ref="B159:F159"/>
    <mergeCell ref="K159:O159"/>
    <mergeCell ref="T159:X159"/>
    <mergeCell ref="AC159:AG159"/>
    <mergeCell ref="B158:D158"/>
    <mergeCell ref="AC147:AE147"/>
    <mergeCell ref="BW15:CG15"/>
    <mergeCell ref="K158:M158"/>
    <mergeCell ref="T158:V158"/>
    <mergeCell ref="AC158:AE158"/>
    <mergeCell ref="B160:D160"/>
    <mergeCell ref="B147:D147"/>
    <mergeCell ref="K147:M147"/>
    <mergeCell ref="T144:X144"/>
    <mergeCell ref="AC144:AG144"/>
    <mergeCell ref="K157:M157"/>
    <mergeCell ref="T157:V157"/>
    <mergeCell ref="AC157:AE157"/>
    <mergeCell ref="B149:AH149"/>
    <mergeCell ref="B150:F150"/>
    <mergeCell ref="K150:O150"/>
    <mergeCell ref="T150:X150"/>
    <mergeCell ref="AC150:AG150"/>
    <mergeCell ref="B151:F151"/>
    <mergeCell ref="K151:O151"/>
    <mergeCell ref="T151:X151"/>
    <mergeCell ref="AC151:AG151"/>
    <mergeCell ref="B152:D152"/>
    <mergeCell ref="K152:M152"/>
    <mergeCell ref="T152:V152"/>
    <mergeCell ref="AC152:AE152"/>
    <mergeCell ref="B153:D153"/>
    <mergeCell ref="K153:M153"/>
    <mergeCell ref="B144:F144"/>
    <mergeCell ref="B140:F140"/>
    <mergeCell ref="K140:O140"/>
    <mergeCell ref="T118:V118"/>
    <mergeCell ref="AC118:AE118"/>
    <mergeCell ref="B141:D141"/>
    <mergeCell ref="K141:M141"/>
    <mergeCell ref="T141:V141"/>
    <mergeCell ref="AC141:AE141"/>
    <mergeCell ref="B139:D139"/>
    <mergeCell ref="K139:M139"/>
    <mergeCell ref="T139:V139"/>
    <mergeCell ref="AC139:AE139"/>
    <mergeCell ref="T121:X121"/>
    <mergeCell ref="AC121:AG121"/>
    <mergeCell ref="B138:D138"/>
    <mergeCell ref="K138:M138"/>
    <mergeCell ref="T138:V138"/>
    <mergeCell ref="AC138:AE138"/>
    <mergeCell ref="T136:X136"/>
    <mergeCell ref="AC136:AG136"/>
    <mergeCell ref="B137:D137"/>
    <mergeCell ref="K137:M137"/>
    <mergeCell ref="T137:V137"/>
    <mergeCell ref="B134:D134"/>
    <mergeCell ref="K134:M134"/>
    <mergeCell ref="T122:V122"/>
    <mergeCell ref="AC122:AE122"/>
    <mergeCell ref="T119:V119"/>
    <mergeCell ref="B132:F132"/>
    <mergeCell ref="K132:O132"/>
    <mergeCell ref="B133:D133"/>
    <mergeCell ref="K133:M133"/>
    <mergeCell ref="T133:V133"/>
    <mergeCell ref="AC133:AE133"/>
    <mergeCell ref="B131:D131"/>
    <mergeCell ref="K131:M131"/>
    <mergeCell ref="T131:V131"/>
    <mergeCell ref="AC131:AE131"/>
    <mergeCell ref="K130:M130"/>
    <mergeCell ref="T130:V130"/>
    <mergeCell ref="AC130:AE130"/>
    <mergeCell ref="B123:D123"/>
    <mergeCell ref="B124:D124"/>
    <mergeCell ref="T123:V123"/>
    <mergeCell ref="AC123:AE123"/>
    <mergeCell ref="T124:V124"/>
    <mergeCell ref="AC124:AE124"/>
    <mergeCell ref="T111:V111"/>
    <mergeCell ref="AC111:AE111"/>
    <mergeCell ref="T112:V112"/>
    <mergeCell ref="AC112:AE112"/>
    <mergeCell ref="B111:D111"/>
    <mergeCell ref="B112:D112"/>
    <mergeCell ref="B130:D130"/>
    <mergeCell ref="K117:O117"/>
    <mergeCell ref="T117:X117"/>
    <mergeCell ref="AC117:AG117"/>
    <mergeCell ref="AC119:AE119"/>
    <mergeCell ref="B129:D129"/>
    <mergeCell ref="K129:M129"/>
    <mergeCell ref="T114:V114"/>
    <mergeCell ref="AC114:AE114"/>
    <mergeCell ref="B114:D114"/>
    <mergeCell ref="T115:V115"/>
    <mergeCell ref="AC115:AE115"/>
    <mergeCell ref="T116:V116"/>
    <mergeCell ref="AC116:AE116"/>
    <mergeCell ref="B115:D115"/>
    <mergeCell ref="B116:D116"/>
    <mergeCell ref="K114:M114"/>
    <mergeCell ref="K115:M115"/>
    <mergeCell ref="T107:V107"/>
    <mergeCell ref="AC107:AE107"/>
    <mergeCell ref="T108:V108"/>
    <mergeCell ref="AC108:AE108"/>
    <mergeCell ref="B106:D106"/>
    <mergeCell ref="B107:D107"/>
    <mergeCell ref="B108:D108"/>
    <mergeCell ref="T128:X128"/>
    <mergeCell ref="AC128:AG128"/>
    <mergeCell ref="K109:O109"/>
    <mergeCell ref="T109:X109"/>
    <mergeCell ref="AC109:AG109"/>
    <mergeCell ref="B109:F109"/>
    <mergeCell ref="B128:F128"/>
    <mergeCell ref="K128:O128"/>
    <mergeCell ref="T106:V106"/>
    <mergeCell ref="AC106:AE106"/>
    <mergeCell ref="K113:O113"/>
    <mergeCell ref="T113:X113"/>
    <mergeCell ref="AC113:AG113"/>
    <mergeCell ref="T110:V110"/>
    <mergeCell ref="AC110:AE110"/>
    <mergeCell ref="B110:D110"/>
    <mergeCell ref="K108:M108"/>
    <mergeCell ref="B103:AH103"/>
    <mergeCell ref="B126:AH126"/>
    <mergeCell ref="K104:O104"/>
    <mergeCell ref="T104:X104"/>
    <mergeCell ref="AC104:AG104"/>
    <mergeCell ref="B127:F127"/>
    <mergeCell ref="K127:O127"/>
    <mergeCell ref="T127:X127"/>
    <mergeCell ref="AC127:AG127"/>
    <mergeCell ref="K105:O105"/>
    <mergeCell ref="T105:X105"/>
    <mergeCell ref="AC105:AG105"/>
    <mergeCell ref="B105:F105"/>
    <mergeCell ref="B113:F113"/>
    <mergeCell ref="T120:V120"/>
    <mergeCell ref="AC120:AE120"/>
    <mergeCell ref="K121:O121"/>
    <mergeCell ref="B118:D118"/>
    <mergeCell ref="B119:D119"/>
    <mergeCell ref="B120:D120"/>
    <mergeCell ref="B122:D122"/>
    <mergeCell ref="K106:M106"/>
    <mergeCell ref="B104:F104"/>
    <mergeCell ref="K107:M107"/>
    <mergeCell ref="BF93:BL93"/>
    <mergeCell ref="BO93:BU93"/>
    <mergeCell ref="A95:A101"/>
    <mergeCell ref="J95:J101"/>
    <mergeCell ref="S95:S101"/>
    <mergeCell ref="AB95:AB101"/>
    <mergeCell ref="AL95:AL101"/>
    <mergeCell ref="AU95:AU101"/>
    <mergeCell ref="BD95:BD101"/>
    <mergeCell ref="BM95:BM101"/>
    <mergeCell ref="C93:I93"/>
    <mergeCell ref="L93:R93"/>
    <mergeCell ref="U93:AA93"/>
    <mergeCell ref="AD93:AJ93"/>
    <mergeCell ref="AN93:AT93"/>
    <mergeCell ref="AW93:BC93"/>
    <mergeCell ref="BF84:BL84"/>
    <mergeCell ref="BO84:BU84"/>
    <mergeCell ref="A86:A92"/>
    <mergeCell ref="J86:J92"/>
    <mergeCell ref="S86:S92"/>
    <mergeCell ref="AB86:AB92"/>
    <mergeCell ref="AL86:AL92"/>
    <mergeCell ref="AU86:AU92"/>
    <mergeCell ref="BD86:BD92"/>
    <mergeCell ref="BM86:BM92"/>
    <mergeCell ref="C84:I84"/>
    <mergeCell ref="L84:R84"/>
    <mergeCell ref="U84:AA84"/>
    <mergeCell ref="AD84:AJ84"/>
    <mergeCell ref="AN84:AT84"/>
    <mergeCell ref="AW84:BC84"/>
    <mergeCell ref="BF75:BL75"/>
    <mergeCell ref="BO75:BU75"/>
    <mergeCell ref="A77:A83"/>
    <mergeCell ref="J77:J83"/>
    <mergeCell ref="S77:S83"/>
    <mergeCell ref="AB77:AB83"/>
    <mergeCell ref="AL77:AL83"/>
    <mergeCell ref="AU77:AU83"/>
    <mergeCell ref="BD77:BD83"/>
    <mergeCell ref="BM77:BM83"/>
    <mergeCell ref="C75:I75"/>
    <mergeCell ref="L75:R75"/>
    <mergeCell ref="U75:AA75"/>
    <mergeCell ref="AD75:AJ75"/>
    <mergeCell ref="AN75:AT75"/>
    <mergeCell ref="AW75:BC75"/>
    <mergeCell ref="BF66:BL66"/>
    <mergeCell ref="BO66:BU66"/>
    <mergeCell ref="A68:A74"/>
    <mergeCell ref="J68:J74"/>
    <mergeCell ref="S68:S74"/>
    <mergeCell ref="AB68:AB74"/>
    <mergeCell ref="AL68:AL74"/>
    <mergeCell ref="AU68:AU74"/>
    <mergeCell ref="BD68:BD74"/>
    <mergeCell ref="BM68:BM74"/>
    <mergeCell ref="C66:I66"/>
    <mergeCell ref="L66:R66"/>
    <mergeCell ref="U66:AA66"/>
    <mergeCell ref="AD66:AJ66"/>
    <mergeCell ref="AN66:AT66"/>
    <mergeCell ref="AW66:BC66"/>
    <mergeCell ref="BF57:BL57"/>
    <mergeCell ref="BO57:BU57"/>
    <mergeCell ref="A59:A65"/>
    <mergeCell ref="J59:J65"/>
    <mergeCell ref="S59:S65"/>
    <mergeCell ref="AB59:AB65"/>
    <mergeCell ref="AL59:AL65"/>
    <mergeCell ref="AU59:AU65"/>
    <mergeCell ref="BD59:BD65"/>
    <mergeCell ref="BM59:BM65"/>
    <mergeCell ref="C57:I57"/>
    <mergeCell ref="L57:R57"/>
    <mergeCell ref="U57:AA57"/>
    <mergeCell ref="AD57:AJ57"/>
    <mergeCell ref="AN57:AT57"/>
    <mergeCell ref="AW57:BC57"/>
    <mergeCell ref="BF48:BL48"/>
    <mergeCell ref="BO48:BU48"/>
    <mergeCell ref="A50:A56"/>
    <mergeCell ref="J50:J56"/>
    <mergeCell ref="S50:S56"/>
    <mergeCell ref="AB50:AB56"/>
    <mergeCell ref="AL50:AL56"/>
    <mergeCell ref="AU50:AU56"/>
    <mergeCell ref="BD50:BD56"/>
    <mergeCell ref="BM50:BM56"/>
    <mergeCell ref="C48:I48"/>
    <mergeCell ref="L48:R48"/>
    <mergeCell ref="U48:AA48"/>
    <mergeCell ref="AD48:AJ48"/>
    <mergeCell ref="AN48:AT48"/>
    <mergeCell ref="AW48:BC48"/>
    <mergeCell ref="BF39:BL39"/>
    <mergeCell ref="BO39:BU39"/>
    <mergeCell ref="A41:A47"/>
    <mergeCell ref="J41:J47"/>
    <mergeCell ref="S41:S47"/>
    <mergeCell ref="AB41:AB47"/>
    <mergeCell ref="AL41:AL47"/>
    <mergeCell ref="AU41:AU47"/>
    <mergeCell ref="BD41:BD47"/>
    <mergeCell ref="BM41:BM47"/>
    <mergeCell ref="C39:I39"/>
    <mergeCell ref="L39:R39"/>
    <mergeCell ref="U39:AA39"/>
    <mergeCell ref="AD39:AJ39"/>
    <mergeCell ref="AN39:AT39"/>
    <mergeCell ref="AW39:BC39"/>
    <mergeCell ref="A32:A38"/>
    <mergeCell ref="J32:J38"/>
    <mergeCell ref="S32:S38"/>
    <mergeCell ref="AB32:AB38"/>
    <mergeCell ref="AL32:AL38"/>
    <mergeCell ref="AU32:AU38"/>
    <mergeCell ref="BD32:BD38"/>
    <mergeCell ref="BM32:BM38"/>
    <mergeCell ref="C30:I30"/>
    <mergeCell ref="L30:R30"/>
    <mergeCell ref="U30:AA30"/>
    <mergeCell ref="AD30:AJ30"/>
    <mergeCell ref="AN30:AT30"/>
    <mergeCell ref="AW30:BC30"/>
    <mergeCell ref="A23:A29"/>
    <mergeCell ref="J23:J29"/>
    <mergeCell ref="S23:S29"/>
    <mergeCell ref="AB23:AB29"/>
    <mergeCell ref="AL23:AL29"/>
    <mergeCell ref="AU23:AU29"/>
    <mergeCell ref="BD23:BD29"/>
    <mergeCell ref="BM23:BM29"/>
    <mergeCell ref="C21:I21"/>
    <mergeCell ref="L21:R21"/>
    <mergeCell ref="U21:AA21"/>
    <mergeCell ref="AD21:AJ21"/>
    <mergeCell ref="AN21:AT21"/>
    <mergeCell ref="AW21:BC21"/>
    <mergeCell ref="A14:A20"/>
    <mergeCell ref="J14:J20"/>
    <mergeCell ref="S14:S20"/>
    <mergeCell ref="AB14:AB20"/>
    <mergeCell ref="AL14:AL20"/>
    <mergeCell ref="AU14:AU20"/>
    <mergeCell ref="BD14:BD20"/>
    <mergeCell ref="BM14:BM20"/>
    <mergeCell ref="B10:AJ10"/>
    <mergeCell ref="AM10:BU10"/>
    <mergeCell ref="B11:I11"/>
    <mergeCell ref="K11:R11"/>
    <mergeCell ref="T11:AA11"/>
    <mergeCell ref="AC11:AJ11"/>
    <mergeCell ref="AM11:AT11"/>
    <mergeCell ref="AV11:BC11"/>
    <mergeCell ref="BE11:BL11"/>
    <mergeCell ref="BN11:BU11"/>
    <mergeCell ref="BY19:CC19"/>
    <mergeCell ref="BY32:CC32"/>
    <mergeCell ref="C12:I12"/>
    <mergeCell ref="L12:R12"/>
    <mergeCell ref="U12:AA12"/>
    <mergeCell ref="AD12:AJ12"/>
    <mergeCell ref="AN12:AT12"/>
    <mergeCell ref="AW12:BC12"/>
    <mergeCell ref="BF12:BL12"/>
    <mergeCell ref="BO12:BU12"/>
    <mergeCell ref="BF21:BL21"/>
    <mergeCell ref="BO21:BU21"/>
    <mergeCell ref="BF30:BL30"/>
    <mergeCell ref="BO30:BU30"/>
  </mergeCells>
  <pageMargins left="0.70866141732283472" right="0.39370078740157483" top="0.74803149606299213" bottom="0.74803149606299213" header="0.31496062992125984" footer="0.31496062992125984"/>
  <pageSetup paperSize="9" orientation="portrait" horizontalDpi="1200" verticalDpi="1200" r:id="rId1"/>
  <ignoredErrors>
    <ignoredError sqref="BZ21:CA21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I51"/>
  <sheetViews>
    <sheetView workbookViewId="0">
      <selection activeCell="Z16" sqref="Z16"/>
    </sheetView>
  </sheetViews>
  <sheetFormatPr baseColWidth="10" defaultRowHeight="15"/>
  <cols>
    <col min="1" max="1" width="12.7109375" customWidth="1"/>
    <col min="2" max="11" width="7.7109375" customWidth="1"/>
    <col min="12" max="12" width="13.7109375" customWidth="1"/>
    <col min="13" max="22" width="7.7109375" customWidth="1"/>
    <col min="23" max="23" width="14.85546875" bestFit="1" customWidth="1"/>
    <col min="24" max="28" width="7.7109375" customWidth="1"/>
    <col min="29" max="30" width="6.5703125" bestFit="1" customWidth="1"/>
    <col min="33" max="35" width="5.7109375" customWidth="1"/>
  </cols>
  <sheetData>
    <row r="1" spans="1:27" ht="15.75" thickBot="1">
      <c r="A1" t="s">
        <v>131</v>
      </c>
      <c r="K1" s="3" t="s">
        <v>18</v>
      </c>
      <c r="L1" s="3" t="s">
        <v>245</v>
      </c>
      <c r="M1" s="3" t="s">
        <v>152</v>
      </c>
      <c r="N1" s="3" t="s">
        <v>153</v>
      </c>
      <c r="O1" s="2"/>
      <c r="P1" s="57" t="s">
        <v>146</v>
      </c>
      <c r="Q1" s="57" t="s">
        <v>147</v>
      </c>
      <c r="R1" s="57" t="s">
        <v>148</v>
      </c>
      <c r="S1" s="57" t="s">
        <v>145</v>
      </c>
    </row>
    <row r="2" spans="1:27" ht="15.75" thickBot="1">
      <c r="A2" s="710">
        <f>FORMULARIO!U18</f>
        <v>0</v>
      </c>
      <c r="B2" s="711"/>
      <c r="C2" s="712"/>
      <c r="K2" s="1">
        <f>IF(FORMULARIO!U25=0,0,(VLOOKUP(FORMULARIO!U25,A32:B36,2,FALSE)))</f>
        <v>0</v>
      </c>
      <c r="L2" s="1" t="str">
        <f>IF(FORMULARIO!U27=0,"Sin cajón",FORMULARIO!U27)</f>
        <v>Sin cajón</v>
      </c>
      <c r="M2" s="1">
        <f>FORMULARIO!J18</f>
        <v>0</v>
      </c>
      <c r="N2" s="1">
        <f>FORMULARIO!C27-VLOOKUP(L2,W11:Y13,2,FALSE)</f>
        <v>0</v>
      </c>
      <c r="O2" s="57" t="s">
        <v>154</v>
      </c>
      <c r="P2" s="68">
        <f>FORMULARIO!U30</f>
        <v>0</v>
      </c>
      <c r="Q2" s="59">
        <f>FORMULARIO!U32</f>
        <v>0</v>
      </c>
      <c r="R2" s="59">
        <f>FORMULARIO!U34</f>
        <v>0</v>
      </c>
      <c r="S2" s="60">
        <f>FORMULARIO!U36</f>
        <v>0</v>
      </c>
    </row>
    <row r="3" spans="1:27">
      <c r="A3" s="45"/>
      <c r="B3" s="45"/>
      <c r="C3" s="45"/>
      <c r="M3" s="11"/>
      <c r="N3" s="11"/>
      <c r="O3" s="16" t="s">
        <v>152</v>
      </c>
      <c r="P3" s="69">
        <f>FORMULARIO!W30</f>
        <v>0</v>
      </c>
      <c r="Q3" s="61">
        <f>FORMULARIO!W32</f>
        <v>0</v>
      </c>
      <c r="R3" s="61">
        <f>IF(R4=0,0,M2-(P3+Q3))</f>
        <v>0</v>
      </c>
      <c r="S3" s="14">
        <f>IF(S4=0,0,M2-(P3+Q3))</f>
        <v>0</v>
      </c>
      <c r="U3" s="84">
        <f>IF(K2=0,0,M2-P3-Q3)</f>
        <v>0</v>
      </c>
      <c r="V3" s="85" t="s">
        <v>211</v>
      </c>
      <c r="X3" s="44"/>
    </row>
    <row r="4" spans="1:27" ht="23.45" customHeight="1" thickBot="1">
      <c r="A4" s="475">
        <f>A2</f>
        <v>0</v>
      </c>
      <c r="B4" s="52" t="s">
        <v>132</v>
      </c>
      <c r="C4" s="53" t="s">
        <v>133</v>
      </c>
      <c r="D4" s="53" t="s">
        <v>134</v>
      </c>
      <c r="E4" s="53" t="s">
        <v>135</v>
      </c>
      <c r="F4" s="53" t="s">
        <v>136</v>
      </c>
      <c r="G4" s="53" t="s">
        <v>137</v>
      </c>
      <c r="H4" s="53" t="s">
        <v>138</v>
      </c>
      <c r="I4" s="53" t="s">
        <v>139</v>
      </c>
      <c r="J4" s="54" t="s">
        <v>151</v>
      </c>
      <c r="O4" s="17" t="s">
        <v>153</v>
      </c>
      <c r="P4" s="63">
        <f>FORMULARIO!Y30</f>
        <v>0</v>
      </c>
      <c r="Q4" s="63">
        <f>IF(Q3=0,0,S4+U4+R4)</f>
        <v>0</v>
      </c>
      <c r="R4" s="63">
        <f>FORMULARIO!Y34</f>
        <v>0</v>
      </c>
      <c r="S4" s="64">
        <f>FORMULARIO!Y36</f>
        <v>0</v>
      </c>
      <c r="T4" s="105" t="s">
        <v>257</v>
      </c>
      <c r="U4" s="84">
        <f>IF(K2=0,0,N2-R4-S4)</f>
        <v>0</v>
      </c>
      <c r="V4" s="86" t="s">
        <v>212</v>
      </c>
      <c r="X4" s="44"/>
    </row>
    <row r="5" spans="1:27" ht="15" customHeight="1" thickBot="1">
      <c r="A5" s="55" t="s">
        <v>140</v>
      </c>
      <c r="B5" s="46" t="e">
        <f>VLOOKUP($A$2,$A$12:$J$19,2,FALSE)</f>
        <v>#N/A</v>
      </c>
      <c r="C5" s="50" t="e">
        <f>VLOOKUP($A$2,$A$12:$J$19,3,FALSE)</f>
        <v>#N/A</v>
      </c>
      <c r="D5" s="50" t="e">
        <f>VLOOKUP($A$2,$A$12:$J$19,4,FALSE)</f>
        <v>#N/A</v>
      </c>
      <c r="E5" s="50" t="e">
        <f>VLOOKUP($A$2,$A$12:$J$19,5,FALSE)</f>
        <v>#N/A</v>
      </c>
      <c r="F5" s="50" t="e">
        <f>VLOOKUP($A$2,$A$12:$J$19,6,FALSE)</f>
        <v>#N/A</v>
      </c>
      <c r="G5" s="50" t="e">
        <f>VLOOKUP($A$2,$A$12:$J$19,7,FALSE)</f>
        <v>#N/A</v>
      </c>
      <c r="H5" s="50" t="e">
        <f>VLOOKUP($A$2,$A$12:$J$19,8,FALSE)</f>
        <v>#N/A</v>
      </c>
      <c r="I5" s="50" t="e">
        <f>VLOOKUP($A$2,$A$12:$J$19,9,FALSE)</f>
        <v>#N/A</v>
      </c>
      <c r="J5" s="47" t="e">
        <f>VLOOKUP($A$2,$A$12:$J$19,10,FALSE)</f>
        <v>#N/A</v>
      </c>
      <c r="P5" s="44">
        <f>IF(P3=0,0,1)</f>
        <v>0</v>
      </c>
      <c r="Q5" s="94">
        <f>IF(Q3=0,0,1)</f>
        <v>0</v>
      </c>
      <c r="R5" s="94">
        <f>IF(R3=0,0,1)</f>
        <v>0</v>
      </c>
      <c r="S5" s="94">
        <f>IF(S3=0,0,1)</f>
        <v>0</v>
      </c>
      <c r="T5" s="44">
        <f>SUM(P5:S5)</f>
        <v>0</v>
      </c>
      <c r="U5" s="44"/>
      <c r="V5" s="44"/>
      <c r="W5" s="44"/>
      <c r="X5" s="44"/>
    </row>
    <row r="6" spans="1:27" ht="15" customHeight="1">
      <c r="A6" s="56" t="s">
        <v>190</v>
      </c>
      <c r="B6" s="48" t="e">
        <f>VLOOKUP($A$2,$L$12:$U$19,2,FALSE)</f>
        <v>#N/A</v>
      </c>
      <c r="C6" s="51" t="e">
        <f>VLOOKUP($A$2,$L$12:$U$19,3,FALSE)</f>
        <v>#N/A</v>
      </c>
      <c r="D6" s="51" t="e">
        <f>VLOOKUP($A$2,$L$12:$U$19,4,FALSE)</f>
        <v>#N/A</v>
      </c>
      <c r="E6" s="51" t="e">
        <f>VLOOKUP($A$2,$L$12:$U$19,5,FALSE)</f>
        <v>#N/A</v>
      </c>
      <c r="F6" s="51" t="e">
        <f>VLOOKUP($A$2,$L$12:$U$19,6,FALSE)</f>
        <v>#N/A</v>
      </c>
      <c r="G6" s="51" t="e">
        <f>VLOOKUP($A$2,$L$12:$U$19,7,FALSE)</f>
        <v>#N/A</v>
      </c>
      <c r="H6" s="51" t="e">
        <f>VLOOKUP($A$2,$L$12:$U$19,8,FALSE)</f>
        <v>#N/A</v>
      </c>
      <c r="I6" s="51" t="e">
        <f>VLOOKUP($A$2,$L$12:$U$19,9,FALSE)</f>
        <v>#N/A</v>
      </c>
      <c r="J6" s="49" t="e">
        <f>VLOOKUP($A$2,$L$12:$U$19,10,FALSE)</f>
        <v>#N/A</v>
      </c>
      <c r="R6" s="81">
        <f>M2-(P3+Q3)</f>
        <v>0</v>
      </c>
      <c r="S6" s="81">
        <f>N2-(R4+S4)</f>
        <v>0</v>
      </c>
    </row>
    <row r="7" spans="1:27" ht="12.95" customHeight="1">
      <c r="M7" s="2"/>
      <c r="N7" s="2"/>
      <c r="O7" s="2"/>
      <c r="P7" s="2"/>
      <c r="Q7" s="2"/>
      <c r="R7" s="16" t="e">
        <f>M2-(P3+Q3+B22+C22+(H22*(K2-1))+(K2*0.2))</f>
        <v>#N/A</v>
      </c>
      <c r="S7" s="16" t="e">
        <f>N2-(R4+S4+D22+E22+0.2)</f>
        <v>#N/A</v>
      </c>
    </row>
    <row r="8" spans="1:27" ht="12.95" customHeight="1">
      <c r="M8" s="44"/>
      <c r="N8" s="44"/>
      <c r="O8" s="44"/>
      <c r="P8" s="44"/>
      <c r="Q8" s="44"/>
      <c r="R8" s="82">
        <f>IF(K2=0,R6,R7)</f>
        <v>0</v>
      </c>
      <c r="S8" s="82">
        <f>IF(K2=0,S6,S7)</f>
        <v>0</v>
      </c>
    </row>
    <row r="9" spans="1:27" ht="12.95" customHeight="1" thickBot="1">
      <c r="M9" s="44"/>
      <c r="N9" s="44"/>
      <c r="O9" s="44"/>
      <c r="P9" s="44"/>
      <c r="Q9" s="44"/>
      <c r="R9" s="83" t="str">
        <f>IF(R8&lt;0,"No queda hueco para la ventana. ","")</f>
        <v/>
      </c>
      <c r="S9" s="83" t="str">
        <f>IF(S8&lt;0,"No queda hueco para la ventana. ","")</f>
        <v/>
      </c>
      <c r="X9" s="720" t="s">
        <v>245</v>
      </c>
      <c r="Y9" s="720"/>
      <c r="Z9" s="719" t="s">
        <v>359</v>
      </c>
      <c r="AA9" s="719"/>
    </row>
    <row r="10" spans="1:27" ht="12.95" customHeight="1" thickBot="1">
      <c r="A10" s="108" t="s">
        <v>247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08" t="s">
        <v>248</v>
      </c>
      <c r="M10" s="44"/>
      <c r="N10" s="44"/>
      <c r="O10" s="44"/>
      <c r="P10" s="44"/>
      <c r="Q10" s="44"/>
      <c r="R10" s="44"/>
      <c r="S10" s="44"/>
      <c r="W10" s="107" t="s">
        <v>245</v>
      </c>
      <c r="X10" s="107" t="s">
        <v>153</v>
      </c>
      <c r="Y10" s="107" t="s">
        <v>357</v>
      </c>
      <c r="Z10" s="107" t="s">
        <v>0</v>
      </c>
    </row>
    <row r="11" spans="1:27" ht="12.95" customHeight="1" thickTop="1" thickBot="1">
      <c r="A11" s="107" t="s">
        <v>246</v>
      </c>
      <c r="B11" s="4" t="s">
        <v>155</v>
      </c>
      <c r="C11" s="5" t="s">
        <v>9</v>
      </c>
      <c r="D11" s="5" t="s">
        <v>10</v>
      </c>
      <c r="E11" s="5" t="s">
        <v>11</v>
      </c>
      <c r="F11" s="5" t="s">
        <v>12</v>
      </c>
      <c r="G11" s="5" t="s">
        <v>2</v>
      </c>
      <c r="H11" s="5" t="s">
        <v>13</v>
      </c>
      <c r="I11" s="5" t="s">
        <v>19</v>
      </c>
      <c r="J11" s="6" t="s">
        <v>20</v>
      </c>
      <c r="K11" s="11"/>
      <c r="L11" s="107" t="s">
        <v>246</v>
      </c>
      <c r="M11" s="4" t="s">
        <v>155</v>
      </c>
      <c r="N11" s="5" t="s">
        <v>9</v>
      </c>
      <c r="O11" s="5" t="s">
        <v>10</v>
      </c>
      <c r="P11" s="5" t="s">
        <v>11</v>
      </c>
      <c r="Q11" s="5" t="s">
        <v>12</v>
      </c>
      <c r="R11" s="5" t="s">
        <v>2</v>
      </c>
      <c r="S11" s="5" t="s">
        <v>13</v>
      </c>
      <c r="T11" s="5" t="s">
        <v>19</v>
      </c>
      <c r="U11" s="6" t="s">
        <v>20</v>
      </c>
      <c r="W11" s="126" t="s">
        <v>358</v>
      </c>
      <c r="X11" s="126">
        <v>0</v>
      </c>
      <c r="Y11" s="125">
        <v>0</v>
      </c>
      <c r="Z11" s="125">
        <v>0</v>
      </c>
    </row>
    <row r="12" spans="1:27" ht="12.95" customHeight="1" thickBot="1">
      <c r="A12" s="16" t="s">
        <v>15</v>
      </c>
      <c r="B12" s="3">
        <v>8.5599999999999996E-2</v>
      </c>
      <c r="C12" s="3">
        <v>8.5599999999999996E-2</v>
      </c>
      <c r="D12" s="3">
        <v>8.5599999999999996E-2</v>
      </c>
      <c r="E12" s="3">
        <v>8.5599999999999996E-2</v>
      </c>
      <c r="F12" s="3">
        <v>8.5599999999999996E-2</v>
      </c>
      <c r="G12" s="3">
        <v>8.5599999999999996E-2</v>
      </c>
      <c r="H12" s="3">
        <v>0.1356</v>
      </c>
      <c r="I12" s="3">
        <v>4.53E-2</v>
      </c>
      <c r="J12" s="3">
        <v>6.4299999999999996E-2</v>
      </c>
      <c r="K12" s="11"/>
      <c r="L12" s="16" t="s">
        <v>15</v>
      </c>
      <c r="M12" s="3">
        <v>3.5</v>
      </c>
      <c r="N12" s="3">
        <v>3.5</v>
      </c>
      <c r="O12" s="3">
        <v>3.5</v>
      </c>
      <c r="P12" s="3">
        <v>3.5</v>
      </c>
      <c r="Q12" s="3">
        <v>3.5</v>
      </c>
      <c r="R12" s="3">
        <v>3.5</v>
      </c>
      <c r="S12" s="3">
        <v>3.4</v>
      </c>
      <c r="T12" s="3">
        <v>3.5</v>
      </c>
      <c r="U12" s="3">
        <v>3.5</v>
      </c>
      <c r="W12" s="126" t="s">
        <v>607</v>
      </c>
      <c r="X12" s="126">
        <v>0.155</v>
      </c>
      <c r="Y12" s="125">
        <v>1.6</v>
      </c>
      <c r="Z12" s="125">
        <v>0</v>
      </c>
    </row>
    <row r="13" spans="1:27" ht="12.95" customHeight="1" thickBot="1">
      <c r="A13" s="16" t="s">
        <v>8</v>
      </c>
      <c r="B13" s="3">
        <v>9.2899999999999996E-2</v>
      </c>
      <c r="C13" s="3">
        <v>9.2899999999999996E-2</v>
      </c>
      <c r="D13" s="3">
        <v>9.2899999999999996E-2</v>
      </c>
      <c r="E13" s="3">
        <v>9.2899999999999996E-2</v>
      </c>
      <c r="F13" s="3">
        <v>9.2899999999999996E-2</v>
      </c>
      <c r="G13" s="3">
        <v>9.2899999999999996E-2</v>
      </c>
      <c r="H13" s="3">
        <v>0.13439999999999999</v>
      </c>
      <c r="I13" s="3">
        <v>5.3199999999999997E-2</v>
      </c>
      <c r="J13" s="3">
        <v>6.4699999999999994E-2</v>
      </c>
      <c r="K13" s="11"/>
      <c r="L13" s="16" t="s">
        <v>8</v>
      </c>
      <c r="M13" s="3">
        <v>3.4</v>
      </c>
      <c r="N13" s="3">
        <v>3.4</v>
      </c>
      <c r="O13" s="3">
        <v>3.4</v>
      </c>
      <c r="P13" s="3">
        <v>3.4</v>
      </c>
      <c r="Q13" s="3">
        <v>3.4</v>
      </c>
      <c r="R13" s="3">
        <v>3.4</v>
      </c>
      <c r="S13" s="3">
        <v>3.4</v>
      </c>
      <c r="T13" s="3">
        <v>3.4</v>
      </c>
      <c r="U13" s="3">
        <v>3.4</v>
      </c>
      <c r="W13" s="126" t="s">
        <v>605</v>
      </c>
      <c r="X13" s="125">
        <v>0.185</v>
      </c>
      <c r="Y13" s="125">
        <v>1.6</v>
      </c>
      <c r="Z13" s="125">
        <v>0</v>
      </c>
    </row>
    <row r="14" spans="1:27" ht="12.95" customHeight="1" thickBot="1">
      <c r="A14" s="16" t="s">
        <v>14</v>
      </c>
      <c r="B14" s="3">
        <v>9.4899999999999998E-2</v>
      </c>
      <c r="C14" s="3">
        <v>9.4899999999999998E-2</v>
      </c>
      <c r="D14" s="3">
        <v>9.4899999999999998E-2</v>
      </c>
      <c r="E14" s="3">
        <v>9.4899999999999998E-2</v>
      </c>
      <c r="F14" s="3">
        <v>9.4899999999999998E-2</v>
      </c>
      <c r="G14" s="3">
        <v>9.4899999999999998E-2</v>
      </c>
      <c r="H14" s="3">
        <v>0.13780000000000001</v>
      </c>
      <c r="I14" s="3">
        <v>5.5199999999999999E-2</v>
      </c>
      <c r="J14" s="3">
        <v>6.8699999999999997E-2</v>
      </c>
      <c r="K14" s="11"/>
      <c r="L14" s="16" t="s">
        <v>14</v>
      </c>
      <c r="M14" s="3">
        <v>3</v>
      </c>
      <c r="N14" s="3">
        <v>3</v>
      </c>
      <c r="O14" s="3">
        <v>3</v>
      </c>
      <c r="P14" s="3">
        <v>3</v>
      </c>
      <c r="Q14" s="3">
        <v>3</v>
      </c>
      <c r="R14" s="3">
        <v>3</v>
      </c>
      <c r="S14" s="3">
        <v>3</v>
      </c>
      <c r="T14" s="3">
        <v>3</v>
      </c>
      <c r="U14" s="3">
        <v>3</v>
      </c>
    </row>
    <row r="15" spans="1:27" ht="12.95" customHeight="1" thickBot="1">
      <c r="A15" s="16" t="s">
        <v>17</v>
      </c>
      <c r="B15" s="3">
        <v>7.7799999999999994E-2</v>
      </c>
      <c r="C15" s="3">
        <v>7.7799999999999994E-2</v>
      </c>
      <c r="D15" s="3">
        <v>7.7799999999999994E-2</v>
      </c>
      <c r="E15" s="3">
        <v>7.7799999999999994E-2</v>
      </c>
      <c r="F15" s="3">
        <v>7.7799999999999994E-2</v>
      </c>
      <c r="G15" s="3">
        <v>7.7799999999999994E-2</v>
      </c>
      <c r="H15" s="3">
        <v>0.1212</v>
      </c>
      <c r="I15" s="3">
        <v>7.7799999999999994E-2</v>
      </c>
      <c r="J15" s="3">
        <v>0.127</v>
      </c>
      <c r="K15" s="11"/>
      <c r="L15" s="16" t="s">
        <v>17</v>
      </c>
      <c r="M15" s="3">
        <v>2.8</v>
      </c>
      <c r="N15" s="3">
        <v>2.8</v>
      </c>
      <c r="O15" s="3">
        <v>2.8</v>
      </c>
      <c r="P15" s="3">
        <v>2.8</v>
      </c>
      <c r="Q15" s="3">
        <v>2.8</v>
      </c>
      <c r="R15" s="3">
        <v>2.8</v>
      </c>
      <c r="S15" s="3">
        <v>2.9</v>
      </c>
      <c r="T15" s="3">
        <v>3.1</v>
      </c>
      <c r="U15" s="3">
        <v>3</v>
      </c>
    </row>
    <row r="16" spans="1:27" ht="12.95" customHeight="1" thickBot="1">
      <c r="A16" s="16" t="s">
        <v>16</v>
      </c>
      <c r="B16" s="3">
        <v>0.1069</v>
      </c>
      <c r="C16" s="3">
        <v>0.1069</v>
      </c>
      <c r="D16" s="3">
        <v>0.1069</v>
      </c>
      <c r="E16" s="3">
        <v>0.1069</v>
      </c>
      <c r="F16" s="3">
        <v>0.1069</v>
      </c>
      <c r="G16" s="3">
        <v>0.1069</v>
      </c>
      <c r="H16" s="3">
        <v>0.15740000000000001</v>
      </c>
      <c r="I16" s="3">
        <v>5.7500000000000002E-2</v>
      </c>
      <c r="J16" s="3">
        <v>8.5300000000000001E-2</v>
      </c>
      <c r="K16" s="11"/>
      <c r="L16" s="16" t="s">
        <v>16</v>
      </c>
      <c r="M16" s="3">
        <v>2.2000000000000002</v>
      </c>
      <c r="N16" s="3">
        <v>2.2000000000000002</v>
      </c>
      <c r="O16" s="3">
        <v>2.2000000000000002</v>
      </c>
      <c r="P16" s="3">
        <v>2.2000000000000002</v>
      </c>
      <c r="Q16" s="3">
        <v>2.2000000000000002</v>
      </c>
      <c r="R16" s="3">
        <v>2.2000000000000002</v>
      </c>
      <c r="S16" s="3">
        <v>2.1</v>
      </c>
      <c r="T16" s="3">
        <v>2.2000000000000002</v>
      </c>
      <c r="U16" s="3">
        <v>2.2000000000000002</v>
      </c>
    </row>
    <row r="17" spans="1:35" ht="12.95" customHeight="1" thickBot="1">
      <c r="A17" s="16" t="s">
        <v>128</v>
      </c>
      <c r="B17" s="3">
        <v>0.1043</v>
      </c>
      <c r="C17" s="3">
        <v>0.1043</v>
      </c>
      <c r="D17" s="3">
        <v>0.1043</v>
      </c>
      <c r="E17" s="3">
        <v>0.1043</v>
      </c>
      <c r="F17" s="3">
        <v>0.1043</v>
      </c>
      <c r="G17" s="3">
        <v>0.1043</v>
      </c>
      <c r="H17" s="3">
        <v>8.3000000000000004E-2</v>
      </c>
      <c r="I17" s="3">
        <v>4.5699999999999998E-2</v>
      </c>
      <c r="J17" s="3">
        <v>6.4699999999999994E-2</v>
      </c>
      <c r="K17" s="11"/>
      <c r="L17" s="16" t="s">
        <v>128</v>
      </c>
      <c r="M17" s="3">
        <v>4.9000000000000004</v>
      </c>
      <c r="N17" s="3">
        <v>4.3</v>
      </c>
      <c r="O17" s="3">
        <v>4.5999999999999996</v>
      </c>
      <c r="P17" s="3">
        <v>3.9</v>
      </c>
      <c r="Q17" s="3">
        <v>5.0999999999999996</v>
      </c>
      <c r="R17" s="3">
        <v>3.9</v>
      </c>
      <c r="S17" s="3">
        <v>5</v>
      </c>
      <c r="T17" s="3">
        <v>3.4</v>
      </c>
      <c r="U17" s="3">
        <v>3.4</v>
      </c>
    </row>
    <row r="18" spans="1:35" ht="12.95" customHeight="1" thickBot="1">
      <c r="A18" s="16" t="s">
        <v>129</v>
      </c>
      <c r="B18" s="3">
        <v>0.1217</v>
      </c>
      <c r="C18" s="3">
        <v>0.1217</v>
      </c>
      <c r="D18" s="3">
        <v>0.12239999999999999</v>
      </c>
      <c r="E18" s="3">
        <v>0.12239999999999999</v>
      </c>
      <c r="F18" s="3">
        <v>0.12239999999999999</v>
      </c>
      <c r="G18" s="3">
        <v>0.12239999999999999</v>
      </c>
      <c r="H18" s="3">
        <v>9.4399999999999998E-2</v>
      </c>
      <c r="I18" s="3">
        <v>5.2900000000000003E-2</v>
      </c>
      <c r="J18" s="3">
        <v>6.8699999999999997E-2</v>
      </c>
      <c r="K18" s="11"/>
      <c r="L18" s="16" t="s">
        <v>129</v>
      </c>
      <c r="M18" s="3">
        <v>3.9</v>
      </c>
      <c r="N18" s="3">
        <v>3.9</v>
      </c>
      <c r="O18" s="3">
        <v>3.9</v>
      </c>
      <c r="P18" s="3">
        <v>3.5</v>
      </c>
      <c r="Q18" s="3">
        <v>3.9</v>
      </c>
      <c r="R18" s="3">
        <v>3.5</v>
      </c>
      <c r="S18" s="3">
        <v>4.5</v>
      </c>
      <c r="T18" s="3">
        <v>3</v>
      </c>
      <c r="U18" s="3">
        <v>3</v>
      </c>
    </row>
    <row r="19" spans="1:35" ht="12.95" customHeight="1" thickBot="1">
      <c r="A19" s="17" t="s">
        <v>130</v>
      </c>
      <c r="B19" s="3">
        <v>0.1381</v>
      </c>
      <c r="C19" s="3">
        <v>0.1381</v>
      </c>
      <c r="D19" s="3">
        <v>0.1381</v>
      </c>
      <c r="E19" s="3">
        <v>0.1381</v>
      </c>
      <c r="F19" s="3">
        <v>0.1381</v>
      </c>
      <c r="G19" s="3">
        <v>0.1381</v>
      </c>
      <c r="H19" s="3">
        <v>0.1157</v>
      </c>
      <c r="I19" s="3">
        <v>6.4000000000000001E-2</v>
      </c>
      <c r="J19" s="3">
        <v>6.8699999999999997E-2</v>
      </c>
      <c r="K19" s="11"/>
      <c r="L19" s="17" t="s">
        <v>130</v>
      </c>
      <c r="M19" s="3">
        <v>4.5</v>
      </c>
      <c r="N19" s="3">
        <v>4.2</v>
      </c>
      <c r="O19" s="3">
        <v>4.5</v>
      </c>
      <c r="P19" s="3">
        <v>4.2</v>
      </c>
      <c r="Q19" s="3">
        <v>4.5</v>
      </c>
      <c r="R19" s="3">
        <v>4.2</v>
      </c>
      <c r="S19" s="3">
        <v>4.7</v>
      </c>
      <c r="T19" s="3">
        <v>3</v>
      </c>
      <c r="U19" s="3">
        <v>3</v>
      </c>
    </row>
    <row r="20" spans="1:35" ht="12.95" customHeight="1" thickBot="1">
      <c r="A20" s="95"/>
      <c r="B20" s="95"/>
      <c r="C20" s="95"/>
      <c r="D20" s="95"/>
      <c r="E20" s="95"/>
      <c r="F20" s="95"/>
      <c r="G20" s="95"/>
      <c r="H20" s="95"/>
      <c r="I20" s="95"/>
      <c r="J20" s="95"/>
      <c r="K20" s="94"/>
    </row>
    <row r="21" spans="1:35" ht="12.95" customHeight="1" thickTop="1" thickBot="1">
      <c r="A21" s="3" t="s">
        <v>127</v>
      </c>
      <c r="B21" s="65" t="s">
        <v>155</v>
      </c>
      <c r="C21" s="66" t="s">
        <v>9</v>
      </c>
      <c r="D21" s="66" t="s">
        <v>10</v>
      </c>
      <c r="E21" s="66" t="s">
        <v>11</v>
      </c>
      <c r="F21" s="66" t="s">
        <v>12</v>
      </c>
      <c r="G21" s="66" t="s">
        <v>2</v>
      </c>
      <c r="H21" s="66" t="s">
        <v>13</v>
      </c>
      <c r="I21" s="66" t="s">
        <v>19</v>
      </c>
      <c r="J21" s="67" t="s">
        <v>20</v>
      </c>
      <c r="AD21" s="106"/>
    </row>
    <row r="22" spans="1:35" ht="12.95" customHeight="1">
      <c r="A22">
        <f>A2</f>
        <v>0</v>
      </c>
      <c r="B22" s="58" t="e">
        <f>VLOOKUP($A$22,$A$12:$J$19,2,FALSE)</f>
        <v>#N/A</v>
      </c>
      <c r="C22" s="59" t="e">
        <f>VLOOKUP($A$22,$A$12:$J$19,3,FALSE)</f>
        <v>#N/A</v>
      </c>
      <c r="D22" s="59" t="e">
        <f>VLOOKUP($A$22,$A$12:$J$19,4,FALSE)</f>
        <v>#N/A</v>
      </c>
      <c r="E22" s="59" t="e">
        <f>VLOOKUP($A$22,$A$12:$J$19,5,FALSE)</f>
        <v>#N/A</v>
      </c>
      <c r="F22" s="59" t="e">
        <f>VLOOKUP($A$22,$A$12:$J$19,6,FALSE)</f>
        <v>#N/A</v>
      </c>
      <c r="G22" s="59" t="e">
        <f>VLOOKUP($A$22,$A$12:$J$19,7,FALSE)</f>
        <v>#N/A</v>
      </c>
      <c r="H22" s="59" t="e">
        <f>VLOOKUP($A$22,$A$12:$J$19,8,FALSE)</f>
        <v>#N/A</v>
      </c>
      <c r="I22" s="59" t="e">
        <f>VLOOKUP($A$22,$A$12:$J$19,9,FALSE)</f>
        <v>#N/A</v>
      </c>
      <c r="J22" s="60" t="e">
        <f>VLOOKUP($A$22,$A$12:$J$19,10,FALSE)</f>
        <v>#N/A</v>
      </c>
      <c r="AD22" s="106"/>
    </row>
    <row r="23" spans="1:35" ht="12.95" customHeight="1">
      <c r="B23" s="62" t="e">
        <f>VLOOKUP($A$22,$L$12:$U$19,2,FALSE)</f>
        <v>#N/A</v>
      </c>
      <c r="C23" s="63" t="e">
        <f>VLOOKUP($A$22,$L$12:$U$19,3,FALSE)</f>
        <v>#N/A</v>
      </c>
      <c r="D23" s="63" t="e">
        <f>VLOOKUP($A$22,$L$12:$U$19,4,FALSE)</f>
        <v>#N/A</v>
      </c>
      <c r="E23" s="63" t="e">
        <f>VLOOKUP($A$22,$L$12:$U$19,5,FALSE)</f>
        <v>#N/A</v>
      </c>
      <c r="F23" s="63" t="e">
        <f>VLOOKUP($A$22,$L$12:$U$19,6,FALSE)</f>
        <v>#N/A</v>
      </c>
      <c r="G23" s="63" t="e">
        <f>VLOOKUP($A$22,$L$12:$U$19,7,FALSE)</f>
        <v>#N/A</v>
      </c>
      <c r="H23" s="63" t="e">
        <f>VLOOKUP($A$22,$L$12:$U$19,8,FALSE)</f>
        <v>#N/A</v>
      </c>
      <c r="I23" s="63" t="e">
        <f>VLOOKUP($A$22,$L$12:$U$19,9,FALSE)</f>
        <v>#N/A</v>
      </c>
      <c r="J23" s="64" t="e">
        <f>VLOOKUP($A$22,$L$12:$U$19,10,FALSE)</f>
        <v>#N/A</v>
      </c>
      <c r="AD23" s="106"/>
    </row>
    <row r="24" spans="1:35" ht="12.95" customHeight="1" thickBot="1">
      <c r="AD24" s="106"/>
    </row>
    <row r="25" spans="1:35" ht="12.95" customHeight="1" thickTop="1" thickBot="1">
      <c r="A25" s="3" t="s">
        <v>144</v>
      </c>
      <c r="B25" s="4" t="s">
        <v>155</v>
      </c>
      <c r="C25" s="5" t="s">
        <v>9</v>
      </c>
      <c r="D25" s="5" t="s">
        <v>10</v>
      </c>
      <c r="E25" s="5" t="s">
        <v>11</v>
      </c>
      <c r="F25" s="5" t="s">
        <v>12</v>
      </c>
      <c r="G25" s="5" t="s">
        <v>2</v>
      </c>
      <c r="H25" s="6" t="s">
        <v>13</v>
      </c>
      <c r="I25" s="6" t="s">
        <v>157</v>
      </c>
      <c r="J25" s="6" t="s">
        <v>158</v>
      </c>
      <c r="K25" s="6" t="s">
        <v>159</v>
      </c>
      <c r="L25" s="6" t="s">
        <v>160</v>
      </c>
      <c r="M25" s="6" t="s">
        <v>161</v>
      </c>
      <c r="N25" s="6" t="s">
        <v>162</v>
      </c>
      <c r="O25" s="6" t="s">
        <v>163</v>
      </c>
      <c r="P25" s="6" t="s">
        <v>164</v>
      </c>
      <c r="Q25" s="6" t="s">
        <v>245</v>
      </c>
      <c r="R25" s="6" t="s">
        <v>360</v>
      </c>
      <c r="X25" t="s">
        <v>192</v>
      </c>
    </row>
    <row r="26" spans="1:35" ht="12.95" customHeight="1" thickTop="1" thickBot="1">
      <c r="B26" s="71">
        <f>IF(K2=0,0,($U$4-B22)*B22)</f>
        <v>0</v>
      </c>
      <c r="C26" s="71">
        <f>IF(K2=0,0,($U$4-C22)*C22)</f>
        <v>0</v>
      </c>
      <c r="D26" s="71">
        <f>IF(K2=0,0,((($U$3-D22)*D22)/K2)*D29)</f>
        <v>0</v>
      </c>
      <c r="E26" s="71">
        <f>IF(K2=0,0,(((U3-E22)*E22)/K2)*E29)</f>
        <v>0</v>
      </c>
      <c r="F26" s="71">
        <f>IF(K2=0,0,(((U3-F22)*F22)/K2)*F29)</f>
        <v>0</v>
      </c>
      <c r="G26" s="71">
        <f>IF(K2=0,0,(((U3-G22)*G22)/K2)*G29)</f>
        <v>0</v>
      </c>
      <c r="H26" s="71">
        <f>IF(K2=0,0,(($U$4-G22-F22)*H22)*H29)</f>
        <v>0</v>
      </c>
      <c r="I26" s="71">
        <f>IF(P3=0,0,IF(K2=0,(P3*P4)-((P4-(2*I22))*(P3-(2*I22))),(P3*P4)-((P4-(2*I22))*(P3-I22))))</f>
        <v>0</v>
      </c>
      <c r="J26" s="71" t="e">
        <f>IF(K2=0,((P3-(2*I22))*J22)*P2,((P3-I22)*J22)*P2)</f>
        <v>#N/A</v>
      </c>
      <c r="K26" s="71">
        <f>IF(Q3=0,0,IF(K2=0,(Q3*Q4)-((Q4-(2*I22))*(Q3-(2*I22))),(Q3*Q4)-((Q4-(2*I22))*(Q3-I22))))</f>
        <v>0</v>
      </c>
      <c r="L26" s="71" t="e">
        <f>IF(K2=0,((Q3-(2*I22))*J22)*Q2,((Q3-I22)*J22)*Q2)</f>
        <v>#N/A</v>
      </c>
      <c r="M26" s="71">
        <f>IF(R3=0,0,IF(K2=0,(R3*R4)-((R3*I22)*(R4-I22)),(R3*R4)-((R3-(2*I22))*(R4-I22))))</f>
        <v>0</v>
      </c>
      <c r="N26" s="71" t="e">
        <f>((R4-I22)*J22)*R2</f>
        <v>#N/A</v>
      </c>
      <c r="O26" s="71">
        <f>IF(S3=0,0,(S3*S4)-((S3-(2*I22))*(S4-I22)))</f>
        <v>0</v>
      </c>
      <c r="P26" s="71" t="e">
        <f>((S4-I22)*J22)*S2</f>
        <v>#N/A</v>
      </c>
      <c r="Q26" s="71">
        <f>M2*VLOOKUP(L2,W11:Y13,2,FALSE)</f>
        <v>0</v>
      </c>
      <c r="R26" s="71"/>
      <c r="S26" s="70" t="e">
        <f>SUM(B26:R26)</f>
        <v>#N/A</v>
      </c>
      <c r="T26" s="717" t="s">
        <v>165</v>
      </c>
      <c r="U26" s="718"/>
      <c r="Y26" s="3" t="s">
        <v>193</v>
      </c>
      <c r="Z26" s="4" t="s">
        <v>194</v>
      </c>
      <c r="AA26" s="5" t="s">
        <v>146</v>
      </c>
      <c r="AB26" s="5" t="s">
        <v>147</v>
      </c>
      <c r="AC26" s="5" t="s">
        <v>148</v>
      </c>
      <c r="AD26" s="5" t="s">
        <v>145</v>
      </c>
      <c r="AG26" s="70" t="e">
        <f>(C.T.E.!J18*C.T.E.!J20)-S26</f>
        <v>#N/A</v>
      </c>
      <c r="AH26" s="717" t="s">
        <v>168</v>
      </c>
      <c r="AI26" s="718"/>
    </row>
    <row r="27" spans="1:35" ht="12.95" customHeight="1" thickTop="1" thickBot="1">
      <c r="B27" s="71" t="e">
        <f t="shared" ref="B27:J27" si="0">B26*B23</f>
        <v>#N/A</v>
      </c>
      <c r="C27" s="71" t="e">
        <f t="shared" si="0"/>
        <v>#N/A</v>
      </c>
      <c r="D27" s="71" t="e">
        <f t="shared" si="0"/>
        <v>#N/A</v>
      </c>
      <c r="E27" s="71" t="e">
        <f t="shared" si="0"/>
        <v>#N/A</v>
      </c>
      <c r="F27" s="71" t="e">
        <f t="shared" si="0"/>
        <v>#N/A</v>
      </c>
      <c r="G27" s="71" t="e">
        <f t="shared" si="0"/>
        <v>#N/A</v>
      </c>
      <c r="H27" s="71" t="e">
        <f t="shared" si="0"/>
        <v>#N/A</v>
      </c>
      <c r="I27" s="71" t="e">
        <f t="shared" si="0"/>
        <v>#N/A</v>
      </c>
      <c r="J27" s="71" t="e">
        <f t="shared" si="0"/>
        <v>#N/A</v>
      </c>
      <c r="K27" s="71" t="e">
        <f>K26*I23</f>
        <v>#N/A</v>
      </c>
      <c r="L27" s="71" t="e">
        <f>L26*J23</f>
        <v>#N/A</v>
      </c>
      <c r="M27" s="71" t="e">
        <f>M26*I23</f>
        <v>#N/A</v>
      </c>
      <c r="N27" s="71" t="e">
        <f>N26*J23</f>
        <v>#N/A</v>
      </c>
      <c r="O27" s="71" t="e">
        <f>O26*I23</f>
        <v>#N/A</v>
      </c>
      <c r="P27" s="71" t="e">
        <f>P26*J23</f>
        <v>#N/A</v>
      </c>
      <c r="Q27" s="71">
        <f>Q26*VLOOKUP(L2,W11:Y13,3,FALSE)</f>
        <v>0</v>
      </c>
      <c r="R27" s="71">
        <f>VLOOKUP(L2,W11:Z13,4,FALSE)</f>
        <v>0</v>
      </c>
      <c r="S27" s="70" t="e">
        <f>SUM(B27:R27)</f>
        <v>#N/A</v>
      </c>
      <c r="T27" s="717" t="s">
        <v>169</v>
      </c>
      <c r="U27" s="718"/>
      <c r="Z27" s="71" t="e">
        <f>((U3-(B22*2)-(H22*(K2-1)))*2)</f>
        <v>#N/A</v>
      </c>
      <c r="AA27" s="71">
        <f>IF(P3=0,0,(P3-I22)*(2+(P2*2)))</f>
        <v>0</v>
      </c>
      <c r="AB27" s="71">
        <f>IF(Q3=0,0,(Q3-I22)*(2+(Q2*2)))</f>
        <v>0</v>
      </c>
      <c r="AC27" s="71">
        <f>IF(R3=0,0,(R3-(I22*2)-(R2*J22))*2)</f>
        <v>0</v>
      </c>
      <c r="AD27" s="71">
        <f>IF(S3=0,0,(S3-(I22*2)-(S2*J22))*2)</f>
        <v>0</v>
      </c>
      <c r="AE27" s="73" t="e">
        <f>SUM(Z27:AD27)</f>
        <v>#N/A</v>
      </c>
      <c r="AG27" s="70" t="str">
        <f>C.T.E.!J8</f>
        <v/>
      </c>
      <c r="AH27" s="717" t="s">
        <v>7</v>
      </c>
      <c r="AI27" s="718"/>
    </row>
    <row r="28" spans="1:35" ht="12.95" customHeight="1" thickTop="1" thickBot="1">
      <c r="D28" s="5" t="s">
        <v>156</v>
      </c>
      <c r="E28" s="5" t="s">
        <v>156</v>
      </c>
      <c r="F28" s="5" t="s">
        <v>156</v>
      </c>
      <c r="G28" s="5" t="s">
        <v>156</v>
      </c>
      <c r="H28" s="5" t="s">
        <v>156</v>
      </c>
      <c r="S28" s="127" t="e">
        <f>S27/S26</f>
        <v>#N/A</v>
      </c>
    </row>
    <row r="29" spans="1:35" ht="12.95" customHeight="1" thickTop="1" thickBot="1">
      <c r="D29" s="1">
        <f>VLOOKUP($K$2,B32:G36,2,FALSE)</f>
        <v>0</v>
      </c>
      <c r="E29" s="499">
        <f>VLOOKUP($K$2,B32:G36,3,FALSE)</f>
        <v>0</v>
      </c>
      <c r="F29" s="499">
        <f>VLOOKUP($K$2,B32:G36,4,FALSE)</f>
        <v>0</v>
      </c>
      <c r="G29" s="499">
        <f>VLOOKUP($K$2,B32:G36,5,FALSE)</f>
        <v>0</v>
      </c>
      <c r="H29" s="499">
        <f>VLOOKUP($K$2,B32:G36,6,FALSE)</f>
        <v>0</v>
      </c>
      <c r="L29" t="s">
        <v>254</v>
      </c>
      <c r="T29" s="106"/>
      <c r="Y29" s="3" t="s">
        <v>195</v>
      </c>
      <c r="Z29" s="4" t="s">
        <v>194</v>
      </c>
      <c r="AA29" s="5" t="s">
        <v>146</v>
      </c>
      <c r="AB29" s="5" t="s">
        <v>147</v>
      </c>
      <c r="AC29" s="5" t="s">
        <v>148</v>
      </c>
      <c r="AD29" s="5" t="s">
        <v>145</v>
      </c>
      <c r="AG29" s="74"/>
      <c r="AH29" s="6" t="s">
        <v>196</v>
      </c>
      <c r="AI29" s="75"/>
    </row>
    <row r="30" spans="1:35" ht="12.95" customHeight="1" thickTop="1" thickBot="1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4"/>
      <c r="L30">
        <f>A2</f>
        <v>0</v>
      </c>
      <c r="O30" s="1"/>
      <c r="P30" s="1"/>
      <c r="Q30" s="1"/>
      <c r="R30" s="1"/>
      <c r="Z30" s="71" t="e">
        <f>(U4-(D22+F22))*2*K2</f>
        <v>#N/A</v>
      </c>
      <c r="AA30" s="71">
        <f>IF(P4=0,0,((P4-(I22*2)-(J22*P2)))*2)</f>
        <v>0</v>
      </c>
      <c r="AB30" s="71">
        <f>IF(Q4=0,0,((Q4-(I22*2)-(J22*Q2)))*2)</f>
        <v>0</v>
      </c>
      <c r="AC30" s="71">
        <f>IF(R4=0,0,(R4-I22)*(2+(R2*2)))</f>
        <v>0</v>
      </c>
      <c r="AD30" s="71">
        <f>IF(S4=0,0,(S4-I22)*(2+(S2*2)))</f>
        <v>0</v>
      </c>
      <c r="AE30" s="73" t="e">
        <f>SUM(Z30:AD30)</f>
        <v>#N/A</v>
      </c>
      <c r="AG30" s="707" t="str">
        <f>IF(FORMULARIO!D44="","",AE27+AE30)</f>
        <v/>
      </c>
      <c r="AH30" s="708"/>
      <c r="AI30" s="709"/>
    </row>
    <row r="31" spans="1:35" ht="12.95" customHeight="1" thickTop="1" thickBot="1">
      <c r="A31" s="715" t="s">
        <v>141</v>
      </c>
      <c r="B31" s="716"/>
      <c r="C31" s="5" t="s">
        <v>10</v>
      </c>
      <c r="D31" s="5" t="s">
        <v>11</v>
      </c>
      <c r="E31" s="5" t="s">
        <v>12</v>
      </c>
      <c r="F31" s="5" t="s">
        <v>2</v>
      </c>
      <c r="G31" s="6" t="s">
        <v>13</v>
      </c>
      <c r="H31" s="11"/>
      <c r="I31" s="11"/>
      <c r="J31" s="11"/>
      <c r="L31" t="s">
        <v>18</v>
      </c>
    </row>
    <row r="32" spans="1:35" s="105" customFormat="1" ht="12.95" customHeight="1">
      <c r="A32" s="76" t="s">
        <v>206</v>
      </c>
      <c r="B32" s="76">
        <v>0</v>
      </c>
      <c r="C32" s="76">
        <v>0</v>
      </c>
      <c r="D32" s="76">
        <v>0</v>
      </c>
      <c r="E32" s="76">
        <v>0</v>
      </c>
      <c r="F32" s="76">
        <v>0</v>
      </c>
      <c r="G32" s="76">
        <v>0</v>
      </c>
      <c r="H32" s="76"/>
      <c r="I32" s="76"/>
      <c r="J32" s="76"/>
      <c r="K32" s="76"/>
      <c r="L32" s="105" t="e">
        <f>HLOOKUP($L$30,$M$39:$T$44,2,FALSE)</f>
        <v>#N/A</v>
      </c>
    </row>
    <row r="33" spans="1:20" s="105" customFormat="1" ht="12.95" customHeight="1">
      <c r="A33" s="76" t="s">
        <v>207</v>
      </c>
      <c r="B33" s="76">
        <v>1</v>
      </c>
      <c r="C33" s="76">
        <v>0</v>
      </c>
      <c r="D33" s="76">
        <v>1</v>
      </c>
      <c r="E33" s="76">
        <v>0</v>
      </c>
      <c r="F33" s="76">
        <v>1</v>
      </c>
      <c r="G33" s="76">
        <v>0</v>
      </c>
      <c r="L33" s="105" t="e">
        <f>HLOOKUP($L$30,$M$39:$T$44,3,FALSE)</f>
        <v>#N/A</v>
      </c>
    </row>
    <row r="34" spans="1:20" s="105" customFormat="1" ht="12.95" customHeight="1">
      <c r="A34" s="76" t="s">
        <v>208</v>
      </c>
      <c r="B34" s="76">
        <v>2</v>
      </c>
      <c r="C34" s="76">
        <v>1</v>
      </c>
      <c r="D34" s="76">
        <v>1</v>
      </c>
      <c r="E34" s="76">
        <v>1</v>
      </c>
      <c r="F34" s="76">
        <v>1</v>
      </c>
      <c r="G34" s="76">
        <v>1</v>
      </c>
      <c r="L34" s="105" t="e">
        <f>HLOOKUP($L$30,$M$39:$T$44,4,FALSE)</f>
        <v>#N/A</v>
      </c>
    </row>
    <row r="35" spans="1:20" s="105" customFormat="1" ht="12.95" customHeight="1">
      <c r="A35" s="76" t="s">
        <v>209</v>
      </c>
      <c r="B35" s="76">
        <v>3</v>
      </c>
      <c r="C35" s="76">
        <v>1</v>
      </c>
      <c r="D35" s="76">
        <v>2</v>
      </c>
      <c r="E35" s="76">
        <v>1</v>
      </c>
      <c r="F35" s="76">
        <v>2</v>
      </c>
      <c r="G35" s="76">
        <v>2</v>
      </c>
      <c r="L35" s="105" t="e">
        <f>HLOOKUP($L$30,$M$39:$T$44,5,FALSE)</f>
        <v>#N/A</v>
      </c>
    </row>
    <row r="36" spans="1:20" s="105" customFormat="1" ht="12.95" customHeight="1">
      <c r="A36" s="76" t="s">
        <v>210</v>
      </c>
      <c r="B36" s="76">
        <v>4</v>
      </c>
      <c r="C36" s="76">
        <v>2</v>
      </c>
      <c r="D36" s="76">
        <v>2</v>
      </c>
      <c r="E36" s="76">
        <v>2</v>
      </c>
      <c r="F36" s="76">
        <v>2</v>
      </c>
      <c r="G36" s="76">
        <v>3</v>
      </c>
      <c r="L36" s="105" t="e">
        <f>HLOOKUP($L$30,$M$39:$T$44,6,FALSE)</f>
        <v>#N/A</v>
      </c>
    </row>
    <row r="37" spans="1:20" ht="12.95" customHeight="1" thickBot="1"/>
    <row r="38" spans="1:20" ht="12.95" customHeight="1" thickBot="1">
      <c r="A38" s="3" t="s">
        <v>127</v>
      </c>
      <c r="B38" s="713" t="s">
        <v>175</v>
      </c>
      <c r="C38" s="714"/>
      <c r="D38" s="714"/>
      <c r="E38" s="714"/>
      <c r="F38" s="714"/>
    </row>
    <row r="39" spans="1:20" ht="12.95" customHeight="1" thickBot="1">
      <c r="A39" s="16" t="s">
        <v>15</v>
      </c>
      <c r="B39" s="713" t="s">
        <v>176</v>
      </c>
      <c r="C39" s="714"/>
      <c r="D39" s="714"/>
      <c r="E39" s="714"/>
      <c r="F39" s="714"/>
      <c r="G39" s="714"/>
      <c r="H39" s="714"/>
      <c r="L39" s="3" t="s">
        <v>127</v>
      </c>
      <c r="M39" s="3" t="s">
        <v>15</v>
      </c>
      <c r="N39" s="3" t="s">
        <v>8</v>
      </c>
      <c r="O39" s="3" t="s">
        <v>14</v>
      </c>
      <c r="P39" s="3" t="s">
        <v>17</v>
      </c>
      <c r="Q39" s="3" t="s">
        <v>16</v>
      </c>
      <c r="R39" s="3" t="s">
        <v>128</v>
      </c>
      <c r="S39" s="3" t="s">
        <v>129</v>
      </c>
      <c r="T39" s="3" t="s">
        <v>130</v>
      </c>
    </row>
    <row r="40" spans="1:20" ht="12.95" customHeight="1">
      <c r="A40" s="16" t="s">
        <v>8</v>
      </c>
      <c r="B40" s="713" t="s">
        <v>177</v>
      </c>
      <c r="C40" s="714"/>
      <c r="D40" s="714"/>
      <c r="E40" s="714"/>
      <c r="F40" s="714"/>
      <c r="G40" s="714"/>
      <c r="H40" s="714"/>
      <c r="M40" s="76" t="s">
        <v>206</v>
      </c>
      <c r="N40" s="76" t="s">
        <v>206</v>
      </c>
      <c r="O40" s="76" t="s">
        <v>206</v>
      </c>
      <c r="P40" s="76" t="s">
        <v>206</v>
      </c>
      <c r="Q40" s="76" t="s">
        <v>206</v>
      </c>
      <c r="R40" s="76" t="s">
        <v>208</v>
      </c>
      <c r="S40" s="76" t="s">
        <v>208</v>
      </c>
      <c r="T40" s="76" t="s">
        <v>208</v>
      </c>
    </row>
    <row r="41" spans="1:20" ht="12.95" customHeight="1">
      <c r="A41" s="16" t="s">
        <v>14</v>
      </c>
      <c r="B41" s="713" t="s">
        <v>178</v>
      </c>
      <c r="C41" s="714"/>
      <c r="D41" s="714"/>
      <c r="E41" s="714"/>
      <c r="F41" s="714"/>
      <c r="G41" s="714"/>
      <c r="H41" s="714"/>
      <c r="M41" s="76" t="s">
        <v>207</v>
      </c>
      <c r="N41" s="76" t="s">
        <v>207</v>
      </c>
      <c r="O41" s="76" t="s">
        <v>207</v>
      </c>
      <c r="P41" s="76" t="s">
        <v>207</v>
      </c>
      <c r="Q41" s="76" t="s">
        <v>207</v>
      </c>
      <c r="R41" s="76" t="s">
        <v>209</v>
      </c>
      <c r="S41" s="76" t="s">
        <v>209</v>
      </c>
      <c r="T41" s="76" t="s">
        <v>209</v>
      </c>
    </row>
    <row r="42" spans="1:20" ht="12.95" customHeight="1">
      <c r="A42" s="16" t="s">
        <v>17</v>
      </c>
      <c r="B42" s="713" t="s">
        <v>179</v>
      </c>
      <c r="C42" s="714"/>
      <c r="D42" s="714"/>
      <c r="E42" s="714"/>
      <c r="F42" s="714"/>
      <c r="G42" s="714"/>
      <c r="H42" s="714"/>
      <c r="M42" s="76" t="s">
        <v>208</v>
      </c>
      <c r="N42" s="76" t="s">
        <v>208</v>
      </c>
      <c r="O42" s="76" t="s">
        <v>208</v>
      </c>
      <c r="P42" s="76" t="s">
        <v>208</v>
      </c>
      <c r="Q42" s="76" t="s">
        <v>208</v>
      </c>
      <c r="R42" s="76" t="s">
        <v>210</v>
      </c>
      <c r="S42" s="76" t="s">
        <v>210</v>
      </c>
      <c r="T42" s="76" t="s">
        <v>210</v>
      </c>
    </row>
    <row r="43" spans="1:20" ht="12.95" customHeight="1">
      <c r="A43" s="16" t="s">
        <v>16</v>
      </c>
      <c r="B43" s="713" t="s">
        <v>180</v>
      </c>
      <c r="C43" s="714"/>
      <c r="D43" s="714"/>
      <c r="E43" s="714"/>
      <c r="F43" s="714"/>
      <c r="G43" s="714"/>
      <c r="H43" s="714"/>
      <c r="M43" s="76" t="s">
        <v>209</v>
      </c>
      <c r="N43" s="76" t="s">
        <v>209</v>
      </c>
      <c r="O43" s="76" t="s">
        <v>209</v>
      </c>
      <c r="P43" s="76" t="s">
        <v>209</v>
      </c>
      <c r="Q43" s="76" t="s">
        <v>209</v>
      </c>
      <c r="R43" t="s">
        <v>603</v>
      </c>
      <c r="S43" t="s">
        <v>603</v>
      </c>
      <c r="T43" t="s">
        <v>603</v>
      </c>
    </row>
    <row r="44" spans="1:20" ht="12.95" customHeight="1">
      <c r="A44" s="16" t="s">
        <v>128</v>
      </c>
      <c r="B44" s="713" t="s">
        <v>183</v>
      </c>
      <c r="C44" s="714"/>
      <c r="D44" s="714"/>
      <c r="E44" s="714"/>
      <c r="F44" s="714"/>
      <c r="G44" s="714"/>
      <c r="H44" s="714"/>
      <c r="M44" s="76" t="s">
        <v>210</v>
      </c>
      <c r="N44" s="76" t="s">
        <v>210</v>
      </c>
      <c r="O44" s="76" t="s">
        <v>210</v>
      </c>
      <c r="P44" s="76" t="s">
        <v>210</v>
      </c>
      <c r="Q44" s="76" t="s">
        <v>210</v>
      </c>
      <c r="R44" t="s">
        <v>603</v>
      </c>
      <c r="S44" t="s">
        <v>603</v>
      </c>
      <c r="T44" t="s">
        <v>603</v>
      </c>
    </row>
    <row r="45" spans="1:20" ht="12.95" customHeight="1">
      <c r="A45" s="16" t="s">
        <v>129</v>
      </c>
      <c r="B45" s="713" t="s">
        <v>182</v>
      </c>
      <c r="C45" s="714"/>
      <c r="D45" s="714"/>
      <c r="E45" s="714"/>
      <c r="F45" s="714"/>
      <c r="G45" s="714"/>
      <c r="H45" s="714"/>
    </row>
    <row r="46" spans="1:20" ht="12.95" customHeight="1" thickBot="1">
      <c r="A46" s="17" t="s">
        <v>130</v>
      </c>
      <c r="B46" s="713" t="s">
        <v>181</v>
      </c>
      <c r="C46" s="714"/>
      <c r="D46" s="714"/>
      <c r="E46" s="714"/>
      <c r="F46" s="714"/>
      <c r="G46" s="714"/>
      <c r="H46" s="714"/>
    </row>
    <row r="47" spans="1:20" ht="12.95" customHeight="1" thickBot="1"/>
    <row r="48" spans="1:20" ht="12.95" customHeight="1" thickBot="1">
      <c r="A48" s="3" t="s">
        <v>245</v>
      </c>
    </row>
    <row r="49" spans="1:1" ht="12.95" customHeight="1">
      <c r="A49" s="126" t="s">
        <v>358</v>
      </c>
    </row>
    <row r="50" spans="1:1" ht="12.95" customHeight="1">
      <c r="A50" s="126" t="s">
        <v>607</v>
      </c>
    </row>
    <row r="51" spans="1:1">
      <c r="A51" s="126" t="s">
        <v>605</v>
      </c>
    </row>
  </sheetData>
  <customSheetViews>
    <customSheetView guid="{9633098C-10ED-422F-91DC-BBC3EF37A58B}" state="hidden">
      <selection activeCell="D34" sqref="D34:F36"/>
      <pageMargins left="0.7" right="0.7" top="0.75" bottom="0.75" header="0.3" footer="0.3"/>
      <pageSetup paperSize="9" orientation="portrait" r:id="rId1"/>
    </customSheetView>
  </customSheetViews>
  <mergeCells count="18">
    <mergeCell ref="B46:H46"/>
    <mergeCell ref="B41:H41"/>
    <mergeCell ref="B42:H42"/>
    <mergeCell ref="B43:H43"/>
    <mergeCell ref="B44:H44"/>
    <mergeCell ref="B45:H45"/>
    <mergeCell ref="AG30:AI30"/>
    <mergeCell ref="A2:C2"/>
    <mergeCell ref="B38:F38"/>
    <mergeCell ref="B39:H39"/>
    <mergeCell ref="B40:H40"/>
    <mergeCell ref="A31:B31"/>
    <mergeCell ref="AH26:AI26"/>
    <mergeCell ref="AH27:AI27"/>
    <mergeCell ref="T26:U26"/>
    <mergeCell ref="T27:U27"/>
    <mergeCell ref="Z9:AA9"/>
    <mergeCell ref="X9:Y9"/>
  </mergeCells>
  <pageMargins left="0.7" right="0.7" top="0.75" bottom="0.75" header="0.3" footer="0.3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AN75"/>
  <sheetViews>
    <sheetView zoomScale="115" zoomScaleNormal="115" workbookViewId="0">
      <selection activeCell="A66" sqref="A66"/>
    </sheetView>
  </sheetViews>
  <sheetFormatPr baseColWidth="10" defaultRowHeight="15"/>
  <cols>
    <col min="1" max="1" width="24" style="10" bestFit="1" customWidth="1"/>
    <col min="2" max="8" width="9.7109375" style="10" customWidth="1"/>
    <col min="9" max="9" width="2.7109375" customWidth="1"/>
    <col min="10" max="10" width="18.42578125" customWidth="1"/>
    <col min="11" max="11" width="2.7109375" customWidth="1"/>
    <col min="12" max="12" width="8.28515625" customWidth="1"/>
    <col min="13" max="13" width="5.28515625" bestFit="1" customWidth="1"/>
    <col min="14" max="14" width="10.28515625" customWidth="1"/>
    <col min="15" max="15" width="17.7109375" customWidth="1"/>
    <col min="16" max="16" width="2.7109375" customWidth="1"/>
    <col min="17" max="17" width="8.28515625" customWidth="1"/>
    <col min="18" max="18" width="5.28515625" bestFit="1" customWidth="1"/>
    <col min="19" max="19" width="9.5703125" bestFit="1" customWidth="1"/>
    <col min="20" max="20" width="17.7109375" customWidth="1"/>
    <col min="21" max="21" width="2.7109375" customWidth="1"/>
    <col min="22" max="22" width="6.28515625" bestFit="1" customWidth="1"/>
    <col min="23" max="23" width="8.28515625" bestFit="1" customWidth="1"/>
    <col min="24" max="24" width="9.5703125" bestFit="1" customWidth="1"/>
    <col min="25" max="25" width="17.7109375" customWidth="1"/>
    <col min="27" max="27" width="8.28515625" customWidth="1"/>
    <col min="28" max="28" width="8.28515625" bestFit="1" customWidth="1"/>
    <col min="29" max="29" width="9.5703125" bestFit="1" customWidth="1"/>
    <col min="30" max="30" width="17.7109375" customWidth="1"/>
    <col min="31" max="31" width="2.7109375" customWidth="1"/>
    <col min="32" max="32" width="8.28515625" customWidth="1"/>
    <col min="33" max="33" width="8.28515625" bestFit="1" customWidth="1"/>
    <col min="34" max="34" width="9.5703125" bestFit="1" customWidth="1"/>
    <col min="35" max="35" width="17.7109375" customWidth="1"/>
    <col min="36" max="36" width="2.7109375" customWidth="1"/>
    <col min="37" max="37" width="8.28515625" customWidth="1"/>
    <col min="38" max="38" width="8.28515625" bestFit="1" customWidth="1"/>
    <col min="39" max="39" width="9.5703125" bestFit="1" customWidth="1"/>
    <col min="40" max="40" width="17.7109375" customWidth="1"/>
  </cols>
  <sheetData>
    <row r="1" spans="1:40">
      <c r="A1" s="10" t="s">
        <v>104</v>
      </c>
      <c r="B1" s="10" t="s">
        <v>105</v>
      </c>
      <c r="C1" s="10" t="s">
        <v>106</v>
      </c>
      <c r="D1" s="10" t="s">
        <v>119</v>
      </c>
      <c r="E1" s="10" t="s">
        <v>120</v>
      </c>
      <c r="J1" s="2"/>
      <c r="K1" s="2"/>
      <c r="L1" s="2"/>
      <c r="Q1" s="2"/>
      <c r="V1" s="2"/>
      <c r="AA1" s="79"/>
      <c r="AF1" s="79"/>
      <c r="AK1" s="79"/>
    </row>
    <row r="2" spans="1:40">
      <c r="A2" s="10">
        <f>FORMULARIO!C11</f>
        <v>0</v>
      </c>
      <c r="B2" s="10">
        <f>FORMULARIO!C13</f>
        <v>0</v>
      </c>
      <c r="C2" s="10" t="e">
        <f>INDEX(B6:H57,MATCH(A2,A6:A57,0),MATCH(B2,B5:H5,0))</f>
        <v>#N/A</v>
      </c>
      <c r="D2" s="10">
        <f>FORMULARIO!H13</f>
        <v>0</v>
      </c>
      <c r="E2" s="10">
        <f>FORMULARIO!L13</f>
        <v>0</v>
      </c>
      <c r="J2" s="2"/>
      <c r="K2" s="2"/>
      <c r="L2" s="2"/>
      <c r="Q2" s="2"/>
      <c r="V2" s="2"/>
      <c r="AA2" s="79"/>
      <c r="AF2" s="79"/>
      <c r="AK2" s="79"/>
    </row>
    <row r="3" spans="1:40" ht="15.75" thickBot="1">
      <c r="J3" s="2"/>
      <c r="K3" s="2"/>
      <c r="L3" s="2"/>
      <c r="Q3" s="2"/>
      <c r="V3" s="2"/>
      <c r="AA3" s="79"/>
      <c r="AF3" s="79"/>
      <c r="AK3" s="79"/>
    </row>
    <row r="4" spans="1:40" ht="15.75" thickBot="1">
      <c r="C4" s="12"/>
      <c r="D4" s="682" t="s">
        <v>100</v>
      </c>
      <c r="E4" s="682"/>
      <c r="F4" s="682"/>
      <c r="G4" s="682"/>
      <c r="H4" s="682"/>
      <c r="J4" s="18" t="s">
        <v>108</v>
      </c>
      <c r="L4" s="25" t="s">
        <v>54</v>
      </c>
      <c r="N4" s="88" t="s">
        <v>218</v>
      </c>
      <c r="O4" s="89">
        <v>0.94</v>
      </c>
      <c r="Q4" s="25" t="s">
        <v>43</v>
      </c>
      <c r="S4" s="88" t="s">
        <v>218</v>
      </c>
      <c r="T4" s="89">
        <v>0.94</v>
      </c>
      <c r="V4" s="25" t="s">
        <v>44</v>
      </c>
      <c r="X4" s="88" t="s">
        <v>218</v>
      </c>
      <c r="Y4" s="89">
        <v>0.82</v>
      </c>
      <c r="AA4" s="25" t="s">
        <v>54</v>
      </c>
      <c r="AC4" s="88" t="s">
        <v>214</v>
      </c>
      <c r="AD4" s="89">
        <v>0.67</v>
      </c>
      <c r="AF4" s="25" t="s">
        <v>43</v>
      </c>
      <c r="AH4" s="88" t="s">
        <v>214</v>
      </c>
      <c r="AI4" s="89">
        <v>0.67</v>
      </c>
      <c r="AK4" s="25" t="s">
        <v>44</v>
      </c>
      <c r="AM4" s="88" t="s">
        <v>214</v>
      </c>
      <c r="AN4" s="89">
        <v>0.57999999999999996</v>
      </c>
    </row>
    <row r="5" spans="1:40" ht="15.75" thickBot="1">
      <c r="B5" s="2" t="s">
        <v>23</v>
      </c>
      <c r="C5" s="14" t="s">
        <v>94</v>
      </c>
      <c r="D5" s="13" t="s">
        <v>96</v>
      </c>
      <c r="E5" s="2" t="s">
        <v>95</v>
      </c>
      <c r="F5" s="2" t="s">
        <v>97</v>
      </c>
      <c r="G5" s="2" t="s">
        <v>98</v>
      </c>
      <c r="H5" s="2" t="s">
        <v>99</v>
      </c>
      <c r="J5" s="16" t="s">
        <v>23</v>
      </c>
      <c r="K5" s="2"/>
      <c r="M5" s="19" t="s">
        <v>116</v>
      </c>
      <c r="N5" s="20" t="s">
        <v>117</v>
      </c>
      <c r="O5" s="21" t="s">
        <v>118</v>
      </c>
      <c r="R5" s="19" t="s">
        <v>116</v>
      </c>
      <c r="S5" s="20" t="s">
        <v>117</v>
      </c>
      <c r="T5" s="21" t="s">
        <v>118</v>
      </c>
      <c r="W5" s="19" t="s">
        <v>116</v>
      </c>
      <c r="X5" s="20" t="s">
        <v>117</v>
      </c>
      <c r="Y5" s="21" t="s">
        <v>118</v>
      </c>
      <c r="AB5" s="19" t="s">
        <v>116</v>
      </c>
      <c r="AC5" s="20" t="s">
        <v>117</v>
      </c>
      <c r="AD5" s="21" t="s">
        <v>118</v>
      </c>
      <c r="AG5" s="19" t="s">
        <v>116</v>
      </c>
      <c r="AH5" s="20" t="s">
        <v>117</v>
      </c>
      <c r="AI5" s="21" t="s">
        <v>118</v>
      </c>
      <c r="AL5" s="19" t="s">
        <v>116</v>
      </c>
      <c r="AM5" s="20" t="s">
        <v>117</v>
      </c>
      <c r="AN5" s="21" t="s">
        <v>118</v>
      </c>
    </row>
    <row r="6" spans="1:40" s="1" customFormat="1" ht="12.95" customHeight="1">
      <c r="A6" s="2" t="s">
        <v>33</v>
      </c>
      <c r="B6" s="2" t="s">
        <v>34</v>
      </c>
      <c r="C6" s="15">
        <v>677</v>
      </c>
      <c r="D6" s="13" t="s">
        <v>35</v>
      </c>
      <c r="E6" s="2" t="s">
        <v>36</v>
      </c>
      <c r="F6" s="2" t="s">
        <v>36</v>
      </c>
      <c r="G6" s="2" t="s">
        <v>36</v>
      </c>
      <c r="H6" s="2" t="s">
        <v>36</v>
      </c>
      <c r="J6" s="16" t="s">
        <v>96</v>
      </c>
      <c r="L6" s="22" t="s">
        <v>109</v>
      </c>
      <c r="M6" s="26">
        <v>5.7</v>
      </c>
      <c r="N6" s="27">
        <v>5.7</v>
      </c>
      <c r="O6" s="28">
        <v>5.7</v>
      </c>
      <c r="Q6" s="22" t="s">
        <v>109</v>
      </c>
      <c r="R6" s="26">
        <v>5.7</v>
      </c>
      <c r="S6" s="27">
        <v>5.7</v>
      </c>
      <c r="T6" s="28">
        <v>5.7</v>
      </c>
      <c r="V6" s="22" t="s">
        <v>109</v>
      </c>
      <c r="W6" s="26">
        <v>5.4</v>
      </c>
      <c r="X6" s="27">
        <v>5.7</v>
      </c>
      <c r="Y6" s="28">
        <v>5.7</v>
      </c>
      <c r="AA6" s="22" t="s">
        <v>109</v>
      </c>
      <c r="AB6" s="26">
        <v>5.7</v>
      </c>
      <c r="AC6" s="27">
        <v>5.7</v>
      </c>
      <c r="AD6" s="28">
        <v>5.7</v>
      </c>
      <c r="AF6" s="22" t="s">
        <v>109</v>
      </c>
      <c r="AG6" s="26">
        <v>5.7</v>
      </c>
      <c r="AH6" s="27">
        <v>5.7</v>
      </c>
      <c r="AI6" s="28">
        <v>5.7</v>
      </c>
      <c r="AK6" s="22" t="s">
        <v>109</v>
      </c>
      <c r="AL6" s="26">
        <v>5.7</v>
      </c>
      <c r="AM6" s="27">
        <v>5.7</v>
      </c>
      <c r="AN6" s="28">
        <v>5.7</v>
      </c>
    </row>
    <row r="7" spans="1:40" s="1" customFormat="1" ht="12.95" customHeight="1">
      <c r="A7" s="2" t="s">
        <v>37</v>
      </c>
      <c r="B7" s="2" t="s">
        <v>38</v>
      </c>
      <c r="C7" s="15">
        <v>7</v>
      </c>
      <c r="D7" s="13" t="s">
        <v>39</v>
      </c>
      <c r="E7" s="2" t="s">
        <v>40</v>
      </c>
      <c r="F7" s="2" t="s">
        <v>41</v>
      </c>
      <c r="G7" s="2" t="s">
        <v>41</v>
      </c>
      <c r="H7" s="2" t="s">
        <v>36</v>
      </c>
      <c r="J7" s="16" t="s">
        <v>95</v>
      </c>
      <c r="L7" s="23" t="s">
        <v>110</v>
      </c>
      <c r="M7" s="29">
        <v>4.7</v>
      </c>
      <c r="N7" s="30">
        <v>5.7</v>
      </c>
      <c r="O7" s="31">
        <v>5.7</v>
      </c>
      <c r="Q7" s="23" t="s">
        <v>110</v>
      </c>
      <c r="R7" s="29">
        <v>4.7</v>
      </c>
      <c r="S7" s="30">
        <v>5.7</v>
      </c>
      <c r="T7" s="31">
        <v>5.7</v>
      </c>
      <c r="V7" s="23" t="s">
        <v>110</v>
      </c>
      <c r="W7" s="29">
        <v>3.8</v>
      </c>
      <c r="X7" s="30">
        <v>4.9000000000000004</v>
      </c>
      <c r="Y7" s="31">
        <v>5.7</v>
      </c>
      <c r="AA7" s="23" t="s">
        <v>110</v>
      </c>
      <c r="AB7" s="29">
        <v>5.6</v>
      </c>
      <c r="AC7" s="30">
        <v>5.7</v>
      </c>
      <c r="AD7" s="31">
        <v>5.7</v>
      </c>
      <c r="AF7" s="23" t="s">
        <v>110</v>
      </c>
      <c r="AG7" s="29">
        <v>5.6</v>
      </c>
      <c r="AH7" s="30">
        <v>5.7</v>
      </c>
      <c r="AI7" s="31">
        <v>5.7</v>
      </c>
      <c r="AK7" s="23" t="s">
        <v>110</v>
      </c>
      <c r="AL7" s="29">
        <v>4.7</v>
      </c>
      <c r="AM7" s="30">
        <v>5.7</v>
      </c>
      <c r="AN7" s="31">
        <v>5.7</v>
      </c>
    </row>
    <row r="8" spans="1:40" s="1" customFormat="1" ht="12.95" customHeight="1">
      <c r="A8" s="2" t="s">
        <v>42</v>
      </c>
      <c r="B8" s="2" t="s">
        <v>43</v>
      </c>
      <c r="C8" s="15">
        <v>0</v>
      </c>
      <c r="D8" s="13" t="s">
        <v>44</v>
      </c>
      <c r="E8" s="2" t="s">
        <v>44</v>
      </c>
      <c r="F8" s="2" t="s">
        <v>40</v>
      </c>
      <c r="G8" s="2" t="s">
        <v>40</v>
      </c>
      <c r="H8" s="2" t="s">
        <v>41</v>
      </c>
      <c r="J8" s="16" t="s">
        <v>97</v>
      </c>
      <c r="L8" s="23" t="s">
        <v>111</v>
      </c>
      <c r="M8" s="29">
        <v>4.0999999999999996</v>
      </c>
      <c r="N8" s="30">
        <v>5.5</v>
      </c>
      <c r="O8" s="31">
        <v>5.7</v>
      </c>
      <c r="Q8" s="23" t="s">
        <v>111</v>
      </c>
      <c r="R8" s="29">
        <v>4.0999999999999996</v>
      </c>
      <c r="S8" s="30">
        <v>5.5</v>
      </c>
      <c r="T8" s="31">
        <v>5.7</v>
      </c>
      <c r="V8" s="23" t="s">
        <v>111</v>
      </c>
      <c r="W8" s="29">
        <v>3.3</v>
      </c>
      <c r="X8" s="30">
        <v>4.3</v>
      </c>
      <c r="Y8" s="31">
        <v>5.7</v>
      </c>
      <c r="AA8" s="23" t="s">
        <v>111</v>
      </c>
      <c r="AB8" s="29">
        <v>4.5999999999999996</v>
      </c>
      <c r="AC8" s="30">
        <v>5.7</v>
      </c>
      <c r="AD8" s="31">
        <v>5.7</v>
      </c>
      <c r="AF8" s="23" t="s">
        <v>111</v>
      </c>
      <c r="AG8" s="29">
        <v>4.5999999999999996</v>
      </c>
      <c r="AH8" s="30">
        <v>5.7</v>
      </c>
      <c r="AI8" s="31">
        <v>5.7</v>
      </c>
      <c r="AK8" s="23" t="s">
        <v>111</v>
      </c>
      <c r="AL8" s="29">
        <v>3.8</v>
      </c>
      <c r="AM8" s="30">
        <v>4.7</v>
      </c>
      <c r="AN8" s="31">
        <v>5.7</v>
      </c>
    </row>
    <row r="9" spans="1:40" s="1" customFormat="1" ht="12.95" customHeight="1">
      <c r="A9" s="2" t="s">
        <v>45</v>
      </c>
      <c r="B9" s="2" t="s">
        <v>36</v>
      </c>
      <c r="C9" s="15">
        <v>1054</v>
      </c>
      <c r="D9" s="13" t="s">
        <v>36</v>
      </c>
      <c r="E9" s="2" t="s">
        <v>36</v>
      </c>
      <c r="F9" s="2" t="s">
        <v>36</v>
      </c>
      <c r="G9" s="2" t="s">
        <v>36</v>
      </c>
      <c r="H9" s="2" t="s">
        <v>36</v>
      </c>
      <c r="J9" s="16" t="s">
        <v>98</v>
      </c>
      <c r="L9" s="23" t="s">
        <v>112</v>
      </c>
      <c r="M9" s="29">
        <v>3.8</v>
      </c>
      <c r="N9" s="30">
        <v>5.2</v>
      </c>
      <c r="O9" s="31">
        <v>5.7</v>
      </c>
      <c r="Q9" s="23" t="s">
        <v>112</v>
      </c>
      <c r="R9" s="29">
        <v>3.8</v>
      </c>
      <c r="S9" s="30">
        <v>5.2</v>
      </c>
      <c r="T9" s="31">
        <v>5.7</v>
      </c>
      <c r="V9" s="23" t="s">
        <v>112</v>
      </c>
      <c r="W9" s="29">
        <v>3</v>
      </c>
      <c r="X9" s="30">
        <v>4</v>
      </c>
      <c r="Y9" s="31">
        <v>5.6</v>
      </c>
      <c r="AA9" s="23" t="s">
        <v>112</v>
      </c>
      <c r="AB9" s="29">
        <v>4.0999999999999996</v>
      </c>
      <c r="AC9" s="30">
        <v>5.5</v>
      </c>
      <c r="AD9" s="31">
        <v>5.7</v>
      </c>
      <c r="AF9" s="23" t="s">
        <v>112</v>
      </c>
      <c r="AG9" s="29">
        <v>4.0999999999999996</v>
      </c>
      <c r="AH9" s="30">
        <v>5.5</v>
      </c>
      <c r="AI9" s="31">
        <v>5.7</v>
      </c>
      <c r="AK9" s="23" t="s">
        <v>112</v>
      </c>
      <c r="AL9" s="29">
        <v>3.3</v>
      </c>
      <c r="AM9" s="30">
        <v>4.2</v>
      </c>
      <c r="AN9" s="31">
        <v>5.7</v>
      </c>
    </row>
    <row r="10" spans="1:40" s="1" customFormat="1" ht="12.95" customHeight="1" thickBot="1">
      <c r="A10" s="2" t="s">
        <v>46</v>
      </c>
      <c r="B10" s="2" t="s">
        <v>47</v>
      </c>
      <c r="C10" s="15">
        <v>168</v>
      </c>
      <c r="D10" s="13" t="s">
        <v>39</v>
      </c>
      <c r="E10" s="2" t="s">
        <v>41</v>
      </c>
      <c r="F10" s="2" t="s">
        <v>41</v>
      </c>
      <c r="G10" s="2" t="s">
        <v>36</v>
      </c>
      <c r="H10" s="2" t="s">
        <v>36</v>
      </c>
      <c r="J10" s="17" t="s">
        <v>99</v>
      </c>
      <c r="L10" s="23" t="s">
        <v>113</v>
      </c>
      <c r="M10" s="29">
        <v>3.5</v>
      </c>
      <c r="N10" s="30">
        <v>5</v>
      </c>
      <c r="O10" s="31">
        <v>5.7</v>
      </c>
      <c r="Q10" s="23" t="s">
        <v>113</v>
      </c>
      <c r="R10" s="29">
        <v>3.5</v>
      </c>
      <c r="S10" s="30">
        <v>5</v>
      </c>
      <c r="T10" s="31">
        <v>5.7</v>
      </c>
      <c r="V10" s="23" t="s">
        <v>113</v>
      </c>
      <c r="W10" s="29">
        <v>2.8</v>
      </c>
      <c r="X10" s="30">
        <v>3.7</v>
      </c>
      <c r="Y10" s="31">
        <v>5.4</v>
      </c>
      <c r="AA10" s="23" t="s">
        <v>113</v>
      </c>
      <c r="AB10" s="29">
        <v>3.8</v>
      </c>
      <c r="AC10" s="30">
        <v>5.2</v>
      </c>
      <c r="AD10" s="31">
        <v>5.7</v>
      </c>
      <c r="AF10" s="23" t="s">
        <v>113</v>
      </c>
      <c r="AG10" s="29">
        <v>3.8</v>
      </c>
      <c r="AH10" s="30">
        <v>5.2</v>
      </c>
      <c r="AI10" s="31">
        <v>5.7</v>
      </c>
      <c r="AK10" s="23" t="s">
        <v>113</v>
      </c>
      <c r="AL10" s="29">
        <v>3</v>
      </c>
      <c r="AM10" s="30">
        <v>3.9</v>
      </c>
      <c r="AN10" s="31">
        <v>5.5</v>
      </c>
    </row>
    <row r="11" spans="1:40" s="1" customFormat="1" ht="12.95" customHeight="1" thickBot="1">
      <c r="A11" s="2" t="s">
        <v>48</v>
      </c>
      <c r="B11" s="2" t="s">
        <v>49</v>
      </c>
      <c r="C11" s="15">
        <v>1</v>
      </c>
      <c r="D11" s="13" t="s">
        <v>40</v>
      </c>
      <c r="E11" s="2" t="s">
        <v>41</v>
      </c>
      <c r="F11" s="2" t="s">
        <v>41</v>
      </c>
      <c r="G11" s="2" t="s">
        <v>36</v>
      </c>
      <c r="H11" s="2" t="s">
        <v>36</v>
      </c>
      <c r="L11" s="24" t="s">
        <v>114</v>
      </c>
      <c r="M11" s="32">
        <v>3.4</v>
      </c>
      <c r="N11" s="33">
        <v>4.8</v>
      </c>
      <c r="O11" s="34">
        <v>5.7</v>
      </c>
      <c r="Q11" s="24" t="s">
        <v>114</v>
      </c>
      <c r="R11" s="32">
        <v>3.4</v>
      </c>
      <c r="S11" s="33">
        <v>4.8</v>
      </c>
      <c r="T11" s="34">
        <v>5.7</v>
      </c>
      <c r="V11" s="24" t="s">
        <v>114</v>
      </c>
      <c r="W11" s="32">
        <v>2.7</v>
      </c>
      <c r="X11" s="33">
        <v>3.6</v>
      </c>
      <c r="Y11" s="34">
        <v>5.2</v>
      </c>
      <c r="AA11" s="24" t="s">
        <v>114</v>
      </c>
      <c r="AB11" s="32">
        <v>3.6</v>
      </c>
      <c r="AC11" s="33">
        <v>4.9000000000000004</v>
      </c>
      <c r="AD11" s="34">
        <v>5.7</v>
      </c>
      <c r="AF11" s="24" t="s">
        <v>114</v>
      </c>
      <c r="AG11" s="32">
        <v>3.6</v>
      </c>
      <c r="AH11" s="33">
        <v>4.9000000000000004</v>
      </c>
      <c r="AI11" s="34">
        <v>5.7</v>
      </c>
      <c r="AK11" s="24" t="s">
        <v>114</v>
      </c>
      <c r="AL11" s="32">
        <v>2.8</v>
      </c>
      <c r="AM11" s="33">
        <v>3.7</v>
      </c>
      <c r="AN11" s="34">
        <v>5.3</v>
      </c>
    </row>
    <row r="12" spans="1:40" s="1" customFormat="1" ht="12.95" customHeight="1" thickBot="1">
      <c r="A12" s="2" t="s">
        <v>50</v>
      </c>
      <c r="B12" s="2" t="s">
        <v>40</v>
      </c>
      <c r="C12" s="15">
        <v>214</v>
      </c>
      <c r="D12" s="13" t="s">
        <v>41</v>
      </c>
      <c r="E12" s="2" t="s">
        <v>41</v>
      </c>
      <c r="F12" s="2" t="s">
        <v>36</v>
      </c>
      <c r="G12" s="2" t="s">
        <v>36</v>
      </c>
      <c r="H12" s="2" t="s">
        <v>36</v>
      </c>
      <c r="J12" s="732" t="s">
        <v>107</v>
      </c>
    </row>
    <row r="13" spans="1:40" s="1" customFormat="1" ht="12.95" customHeight="1" thickBot="1">
      <c r="A13" s="2" t="s">
        <v>51</v>
      </c>
      <c r="B13" s="2" t="s">
        <v>36</v>
      </c>
      <c r="C13" s="15">
        <v>861</v>
      </c>
      <c r="D13" s="13" t="s">
        <v>36</v>
      </c>
      <c r="E13" s="2" t="s">
        <v>36</v>
      </c>
      <c r="F13" s="2" t="s">
        <v>36</v>
      </c>
      <c r="G13" s="2" t="s">
        <v>36</v>
      </c>
      <c r="H13" s="2" t="s">
        <v>36</v>
      </c>
      <c r="J13" s="733"/>
      <c r="L13" s="25" t="s">
        <v>38</v>
      </c>
      <c r="M13"/>
      <c r="N13" s="88" t="s">
        <v>218</v>
      </c>
      <c r="O13" s="89">
        <v>0.82</v>
      </c>
      <c r="P13"/>
      <c r="Q13" s="25" t="s">
        <v>40</v>
      </c>
      <c r="R13"/>
      <c r="S13" s="88" t="s">
        <v>218</v>
      </c>
      <c r="T13" s="89">
        <v>0.73</v>
      </c>
      <c r="U13"/>
      <c r="V13" s="25" t="s">
        <v>49</v>
      </c>
      <c r="W13"/>
      <c r="X13" s="88" t="s">
        <v>218</v>
      </c>
      <c r="Y13" s="89">
        <v>0.73</v>
      </c>
      <c r="AA13" s="25" t="s">
        <v>38</v>
      </c>
      <c r="AB13"/>
      <c r="AC13" s="88" t="s">
        <v>214</v>
      </c>
      <c r="AD13" s="89">
        <v>0.57999999999999996</v>
      </c>
      <c r="AE13"/>
      <c r="AF13" s="25" t="s">
        <v>40</v>
      </c>
      <c r="AG13"/>
      <c r="AH13" s="88" t="s">
        <v>214</v>
      </c>
      <c r="AI13" s="89">
        <v>0.52</v>
      </c>
      <c r="AJ13"/>
      <c r="AK13" s="25" t="s">
        <v>49</v>
      </c>
      <c r="AL13"/>
      <c r="AM13" s="88" t="s">
        <v>214</v>
      </c>
      <c r="AN13" s="89">
        <v>0.52</v>
      </c>
    </row>
    <row r="14" spans="1:40" s="1" customFormat="1" ht="12.95" customHeight="1" thickBot="1">
      <c r="A14" s="2" t="s">
        <v>52</v>
      </c>
      <c r="B14" s="2" t="s">
        <v>47</v>
      </c>
      <c r="C14" s="15">
        <v>385</v>
      </c>
      <c r="D14" s="13" t="s">
        <v>34</v>
      </c>
      <c r="E14" s="2" t="s">
        <v>41</v>
      </c>
      <c r="F14" s="2" t="s">
        <v>36</v>
      </c>
      <c r="G14" s="2" t="s">
        <v>36</v>
      </c>
      <c r="H14" s="2" t="s">
        <v>36</v>
      </c>
      <c r="J14" s="16" t="s">
        <v>109</v>
      </c>
      <c r="L14"/>
      <c r="M14" s="19" t="s">
        <v>116</v>
      </c>
      <c r="N14" s="20" t="s">
        <v>117</v>
      </c>
      <c r="O14" s="21" t="s">
        <v>118</v>
      </c>
      <c r="P14"/>
      <c r="Q14"/>
      <c r="R14" s="19" t="s">
        <v>116</v>
      </c>
      <c r="S14" s="20" t="s">
        <v>117</v>
      </c>
      <c r="T14" s="21" t="s">
        <v>118</v>
      </c>
      <c r="U14"/>
      <c r="V14"/>
      <c r="W14" s="19" t="s">
        <v>116</v>
      </c>
      <c r="X14" s="20" t="s">
        <v>117</v>
      </c>
      <c r="Y14" s="21" t="s">
        <v>118</v>
      </c>
      <c r="AA14"/>
      <c r="AB14" s="19" t="s">
        <v>116</v>
      </c>
      <c r="AC14" s="20" t="s">
        <v>117</v>
      </c>
      <c r="AD14" s="21" t="s">
        <v>118</v>
      </c>
      <c r="AE14"/>
      <c r="AF14"/>
      <c r="AG14" s="19" t="s">
        <v>116</v>
      </c>
      <c r="AH14" s="20" t="s">
        <v>117</v>
      </c>
      <c r="AI14" s="21" t="s">
        <v>118</v>
      </c>
      <c r="AJ14"/>
      <c r="AK14"/>
      <c r="AL14" s="19" t="s">
        <v>116</v>
      </c>
      <c r="AM14" s="20" t="s">
        <v>117</v>
      </c>
      <c r="AN14" s="21" t="s">
        <v>118</v>
      </c>
    </row>
    <row r="15" spans="1:40" s="1" customFormat="1" ht="12.95" customHeight="1">
      <c r="A15" s="2" t="s">
        <v>53</v>
      </c>
      <c r="B15" s="2" t="s">
        <v>54</v>
      </c>
      <c r="C15" s="15">
        <v>0</v>
      </c>
      <c r="D15" s="13" t="s">
        <v>44</v>
      </c>
      <c r="E15" s="2" t="s">
        <v>44</v>
      </c>
      <c r="F15" s="2" t="s">
        <v>40</v>
      </c>
      <c r="G15" s="2" t="s">
        <v>40</v>
      </c>
      <c r="H15" s="2" t="s">
        <v>41</v>
      </c>
      <c r="J15" s="16" t="s">
        <v>110</v>
      </c>
      <c r="L15" s="22" t="s">
        <v>109</v>
      </c>
      <c r="M15" s="26">
        <v>5.4</v>
      </c>
      <c r="N15" s="27">
        <v>5.7</v>
      </c>
      <c r="O15" s="28">
        <v>5.7</v>
      </c>
      <c r="Q15" s="22" t="s">
        <v>109</v>
      </c>
      <c r="R15" s="26">
        <v>4.4000000000000004</v>
      </c>
      <c r="S15" s="27">
        <v>4.4000000000000004</v>
      </c>
      <c r="T15" s="28">
        <v>4.4000000000000004</v>
      </c>
      <c r="V15" s="22" t="s">
        <v>109</v>
      </c>
      <c r="W15" s="26">
        <v>4.4000000000000004</v>
      </c>
      <c r="X15" s="27">
        <v>4.4000000000000004</v>
      </c>
      <c r="Y15" s="28">
        <v>4.4000000000000004</v>
      </c>
      <c r="AA15" s="22" t="s">
        <v>109</v>
      </c>
      <c r="AB15" s="26">
        <v>5.7</v>
      </c>
      <c r="AC15" s="27">
        <v>5.7</v>
      </c>
      <c r="AD15" s="28">
        <v>5.7</v>
      </c>
      <c r="AF15" s="22" t="s">
        <v>109</v>
      </c>
      <c r="AG15" s="26">
        <v>4.4000000000000004</v>
      </c>
      <c r="AH15" s="27">
        <v>4.4000000000000004</v>
      </c>
      <c r="AI15" s="28">
        <v>4.4000000000000004</v>
      </c>
      <c r="AK15" s="22" t="s">
        <v>109</v>
      </c>
      <c r="AL15" s="26">
        <v>4.4000000000000004</v>
      </c>
      <c r="AM15" s="27">
        <v>4.4000000000000004</v>
      </c>
      <c r="AN15" s="28">
        <v>4.4000000000000004</v>
      </c>
    </row>
    <row r="16" spans="1:40" s="1" customFormat="1" ht="12.95" customHeight="1">
      <c r="A16" s="2" t="s">
        <v>102</v>
      </c>
      <c r="B16" s="2" t="s">
        <v>44</v>
      </c>
      <c r="C16" s="15">
        <v>18</v>
      </c>
      <c r="D16" s="13" t="s">
        <v>49</v>
      </c>
      <c r="E16" s="2" t="s">
        <v>40</v>
      </c>
      <c r="F16" s="2" t="s">
        <v>41</v>
      </c>
      <c r="G16" s="2" t="s">
        <v>41</v>
      </c>
      <c r="H16" s="2" t="s">
        <v>36</v>
      </c>
      <c r="J16" s="16" t="s">
        <v>111</v>
      </c>
      <c r="L16" s="23" t="s">
        <v>110</v>
      </c>
      <c r="M16" s="29">
        <v>3.8</v>
      </c>
      <c r="N16" s="30">
        <v>4.9000000000000004</v>
      </c>
      <c r="O16" s="31">
        <v>5.7</v>
      </c>
      <c r="Q16" s="23" t="s">
        <v>110</v>
      </c>
      <c r="R16" s="29">
        <v>3.4</v>
      </c>
      <c r="S16" s="30">
        <v>3.9</v>
      </c>
      <c r="T16" s="31">
        <v>4.4000000000000004</v>
      </c>
      <c r="V16" s="23" t="s">
        <v>110</v>
      </c>
      <c r="W16" s="29">
        <v>3.4</v>
      </c>
      <c r="X16" s="30">
        <v>3.9</v>
      </c>
      <c r="Y16" s="31">
        <v>4.4000000000000004</v>
      </c>
      <c r="AA16" s="23" t="s">
        <v>110</v>
      </c>
      <c r="AB16" s="29">
        <v>4.7</v>
      </c>
      <c r="AC16" s="30">
        <v>5.7</v>
      </c>
      <c r="AD16" s="31">
        <v>5.7</v>
      </c>
      <c r="AF16" s="23" t="s">
        <v>110</v>
      </c>
      <c r="AG16" s="29">
        <v>4.2</v>
      </c>
      <c r="AH16" s="30">
        <v>4.4000000000000004</v>
      </c>
      <c r="AI16" s="31">
        <v>4.4000000000000004</v>
      </c>
      <c r="AK16" s="23" t="s">
        <v>110</v>
      </c>
      <c r="AL16" s="29">
        <v>4.2</v>
      </c>
      <c r="AM16" s="30">
        <v>4.4000000000000004</v>
      </c>
      <c r="AN16" s="31">
        <v>4.4000000000000004</v>
      </c>
    </row>
    <row r="17" spans="1:40" s="1" customFormat="1" ht="12.95" customHeight="1">
      <c r="A17" s="2" t="s">
        <v>55</v>
      </c>
      <c r="B17" s="2" t="s">
        <v>44</v>
      </c>
      <c r="C17" s="15">
        <v>0</v>
      </c>
      <c r="D17" s="13" t="s">
        <v>44</v>
      </c>
      <c r="E17" s="2" t="s">
        <v>40</v>
      </c>
      <c r="F17" s="2" t="s">
        <v>40</v>
      </c>
      <c r="G17" s="2" t="s">
        <v>41</v>
      </c>
      <c r="H17" s="2" t="s">
        <v>41</v>
      </c>
      <c r="J17" s="16" t="s">
        <v>112</v>
      </c>
      <c r="L17" s="23" t="s">
        <v>111</v>
      </c>
      <c r="M17" s="29">
        <v>3.3</v>
      </c>
      <c r="N17" s="30">
        <v>4.3</v>
      </c>
      <c r="O17" s="31">
        <v>5.7</v>
      </c>
      <c r="Q17" s="23" t="s">
        <v>111</v>
      </c>
      <c r="R17" s="29">
        <v>2.9</v>
      </c>
      <c r="S17" s="30">
        <v>3.3</v>
      </c>
      <c r="T17" s="31">
        <v>4.3</v>
      </c>
      <c r="V17" s="23" t="s">
        <v>111</v>
      </c>
      <c r="W17" s="29">
        <v>2.9</v>
      </c>
      <c r="X17" s="30">
        <v>3.3</v>
      </c>
      <c r="Y17" s="31">
        <v>4.3</v>
      </c>
      <c r="AA17" s="23" t="s">
        <v>111</v>
      </c>
      <c r="AB17" s="29">
        <v>3.8</v>
      </c>
      <c r="AC17" s="30">
        <v>4.7</v>
      </c>
      <c r="AD17" s="31">
        <v>5.7</v>
      </c>
      <c r="AF17" s="23" t="s">
        <v>111</v>
      </c>
      <c r="AG17" s="29">
        <v>3.3</v>
      </c>
      <c r="AH17" s="30">
        <v>3.8</v>
      </c>
      <c r="AI17" s="31">
        <v>4.4000000000000004</v>
      </c>
      <c r="AK17" s="23" t="s">
        <v>111</v>
      </c>
      <c r="AL17" s="29">
        <v>3.3</v>
      </c>
      <c r="AM17" s="30">
        <v>3.8</v>
      </c>
      <c r="AN17" s="31">
        <v>4.4000000000000004</v>
      </c>
    </row>
    <row r="18" spans="1:40" s="1" customFormat="1" ht="12.95" customHeight="1">
      <c r="A18" s="2" t="s">
        <v>56</v>
      </c>
      <c r="B18" s="2" t="s">
        <v>34</v>
      </c>
      <c r="C18" s="15">
        <v>630</v>
      </c>
      <c r="D18" s="13" t="s">
        <v>35</v>
      </c>
      <c r="E18" s="2" t="s">
        <v>36</v>
      </c>
      <c r="F18" s="2" t="s">
        <v>36</v>
      </c>
      <c r="G18" s="2" t="s">
        <v>36</v>
      </c>
      <c r="H18" s="2" t="s">
        <v>36</v>
      </c>
      <c r="J18" s="16" t="s">
        <v>113</v>
      </c>
      <c r="L18" s="23" t="s">
        <v>112</v>
      </c>
      <c r="M18" s="29">
        <v>3</v>
      </c>
      <c r="N18" s="30">
        <v>4</v>
      </c>
      <c r="O18" s="31">
        <v>5.6</v>
      </c>
      <c r="Q18" s="23" t="s">
        <v>112</v>
      </c>
      <c r="R18" s="29">
        <v>2.6</v>
      </c>
      <c r="S18" s="30">
        <v>3</v>
      </c>
      <c r="T18" s="31">
        <v>3.9</v>
      </c>
      <c r="V18" s="23" t="s">
        <v>112</v>
      </c>
      <c r="W18" s="29">
        <v>2.6</v>
      </c>
      <c r="X18" s="30">
        <v>3</v>
      </c>
      <c r="Y18" s="31">
        <v>3.9</v>
      </c>
      <c r="AA18" s="23" t="s">
        <v>112</v>
      </c>
      <c r="AB18" s="29">
        <v>3.3</v>
      </c>
      <c r="AC18" s="30">
        <v>4.2</v>
      </c>
      <c r="AD18" s="31">
        <v>5.7</v>
      </c>
      <c r="AF18" s="23" t="s">
        <v>112</v>
      </c>
      <c r="AG18" s="29">
        <v>2.9</v>
      </c>
      <c r="AH18" s="30">
        <v>3.3</v>
      </c>
      <c r="AI18" s="31">
        <v>4.0999999999999996</v>
      </c>
      <c r="AK18" s="23" t="s">
        <v>112</v>
      </c>
      <c r="AL18" s="29">
        <v>2.9</v>
      </c>
      <c r="AM18" s="30">
        <v>3.3</v>
      </c>
      <c r="AN18" s="31">
        <v>4.0999999999999996</v>
      </c>
    </row>
    <row r="19" spans="1:40" s="1" customFormat="1" ht="12.95" customHeight="1" thickBot="1">
      <c r="A19" s="2" t="s">
        <v>57</v>
      </c>
      <c r="B19" s="2" t="s">
        <v>38</v>
      </c>
      <c r="C19" s="15">
        <v>113</v>
      </c>
      <c r="D19" s="13" t="s">
        <v>39</v>
      </c>
      <c r="E19" s="2" t="s">
        <v>49</v>
      </c>
      <c r="F19" s="2" t="s">
        <v>41</v>
      </c>
      <c r="G19" s="2" t="s">
        <v>41</v>
      </c>
      <c r="H19" s="2" t="s">
        <v>36</v>
      </c>
      <c r="J19" s="17" t="s">
        <v>114</v>
      </c>
      <c r="L19" s="23" t="s">
        <v>113</v>
      </c>
      <c r="M19" s="29">
        <v>2.8</v>
      </c>
      <c r="N19" s="30">
        <v>3.7</v>
      </c>
      <c r="O19" s="31">
        <v>5.4</v>
      </c>
      <c r="Q19" s="23" t="s">
        <v>113</v>
      </c>
      <c r="R19" s="29">
        <v>2.4</v>
      </c>
      <c r="S19" s="30">
        <v>2.8</v>
      </c>
      <c r="T19" s="31">
        <v>3.6</v>
      </c>
      <c r="V19" s="23" t="s">
        <v>113</v>
      </c>
      <c r="W19" s="29">
        <v>2.4</v>
      </c>
      <c r="X19" s="30">
        <v>2.8</v>
      </c>
      <c r="Y19" s="31">
        <v>3.6</v>
      </c>
      <c r="AA19" s="23" t="s">
        <v>113</v>
      </c>
      <c r="AB19" s="29">
        <v>3</v>
      </c>
      <c r="AC19" s="30">
        <v>3.9</v>
      </c>
      <c r="AD19" s="31">
        <v>5.5</v>
      </c>
      <c r="AF19" s="23" t="s">
        <v>113</v>
      </c>
      <c r="AG19" s="29">
        <v>2.6</v>
      </c>
      <c r="AH19" s="30">
        <v>3</v>
      </c>
      <c r="AI19" s="31">
        <v>3.8</v>
      </c>
      <c r="AK19" s="23" t="s">
        <v>113</v>
      </c>
      <c r="AL19" s="29">
        <v>2.6</v>
      </c>
      <c r="AM19" s="30">
        <v>3</v>
      </c>
      <c r="AN19" s="31">
        <v>3.8</v>
      </c>
    </row>
    <row r="20" spans="1:40" s="1" customFormat="1" ht="12.95" customHeight="1" thickBot="1">
      <c r="A20" s="2" t="s">
        <v>58</v>
      </c>
      <c r="B20" s="2" t="s">
        <v>40</v>
      </c>
      <c r="C20" s="15">
        <v>0</v>
      </c>
      <c r="D20" s="13" t="s">
        <v>40</v>
      </c>
      <c r="E20" s="2" t="s">
        <v>41</v>
      </c>
      <c r="F20" s="2" t="s">
        <v>41</v>
      </c>
      <c r="G20" s="2" t="s">
        <v>36</v>
      </c>
      <c r="H20" s="2" t="s">
        <v>36</v>
      </c>
      <c r="L20" s="24" t="s">
        <v>114</v>
      </c>
      <c r="M20" s="32">
        <v>2.7</v>
      </c>
      <c r="N20" s="33">
        <v>3.6</v>
      </c>
      <c r="O20" s="34">
        <v>5.2</v>
      </c>
      <c r="Q20" s="24" t="s">
        <v>114</v>
      </c>
      <c r="R20" s="32">
        <v>2.2000000000000002</v>
      </c>
      <c r="S20" s="33">
        <v>2.7</v>
      </c>
      <c r="T20" s="34">
        <v>3.5</v>
      </c>
      <c r="V20" s="24" t="s">
        <v>114</v>
      </c>
      <c r="W20" s="32">
        <v>2.2000000000000002</v>
      </c>
      <c r="X20" s="33">
        <v>2.7</v>
      </c>
      <c r="Y20" s="34">
        <v>3.5</v>
      </c>
      <c r="AA20" s="24" t="s">
        <v>114</v>
      </c>
      <c r="AB20" s="32">
        <v>2.8</v>
      </c>
      <c r="AC20" s="33">
        <v>3.7</v>
      </c>
      <c r="AD20" s="34">
        <v>5.3</v>
      </c>
      <c r="AF20" s="24" t="s">
        <v>114</v>
      </c>
      <c r="AG20" s="32">
        <v>2.4</v>
      </c>
      <c r="AH20" s="33">
        <v>2.8</v>
      </c>
      <c r="AI20" s="34">
        <v>3.6</v>
      </c>
      <c r="AK20" s="24" t="s">
        <v>114</v>
      </c>
      <c r="AL20" s="32">
        <v>2.4</v>
      </c>
      <c r="AM20" s="33">
        <v>2.8</v>
      </c>
      <c r="AN20" s="34">
        <v>3.6</v>
      </c>
    </row>
    <row r="21" spans="1:40" s="1" customFormat="1" ht="12.95" customHeight="1" thickBot="1">
      <c r="A21" s="2" t="s">
        <v>59</v>
      </c>
      <c r="B21" s="2" t="s">
        <v>35</v>
      </c>
      <c r="C21" s="15">
        <v>975</v>
      </c>
      <c r="D21" s="13" t="s">
        <v>36</v>
      </c>
      <c r="E21" s="2" t="s">
        <v>36</v>
      </c>
      <c r="F21" s="2" t="s">
        <v>36</v>
      </c>
      <c r="G21" s="2" t="s">
        <v>36</v>
      </c>
      <c r="H21" s="2" t="s">
        <v>36</v>
      </c>
      <c r="J21" s="18" t="s">
        <v>115</v>
      </c>
    </row>
    <row r="22" spans="1:40" s="1" customFormat="1" ht="12.95" customHeight="1" thickBot="1">
      <c r="A22" s="2" t="s">
        <v>101</v>
      </c>
      <c r="B22" s="2" t="s">
        <v>40</v>
      </c>
      <c r="C22" s="15">
        <v>5</v>
      </c>
      <c r="D22" s="13" t="s">
        <v>41</v>
      </c>
      <c r="E22" s="2" t="s">
        <v>41</v>
      </c>
      <c r="F22" s="2" t="s">
        <v>36</v>
      </c>
      <c r="G22" s="2" t="s">
        <v>36</v>
      </c>
      <c r="H22" s="2" t="s">
        <v>36</v>
      </c>
      <c r="J22" s="16" t="s">
        <v>116</v>
      </c>
      <c r="L22" s="25" t="s">
        <v>39</v>
      </c>
      <c r="M22"/>
      <c r="N22" s="88" t="s">
        <v>218</v>
      </c>
      <c r="O22" s="89">
        <v>0.73</v>
      </c>
      <c r="P22"/>
      <c r="Q22" s="25" t="s">
        <v>47</v>
      </c>
      <c r="R22"/>
      <c r="S22" s="88" t="s">
        <v>218</v>
      </c>
      <c r="T22" s="89">
        <v>0.73</v>
      </c>
      <c r="U22"/>
      <c r="V22" s="25" t="s">
        <v>41</v>
      </c>
      <c r="W22"/>
      <c r="X22" s="88" t="s">
        <v>218</v>
      </c>
      <c r="Y22" s="89">
        <v>0.66</v>
      </c>
      <c r="AA22" s="25" t="s">
        <v>39</v>
      </c>
      <c r="AB22"/>
      <c r="AC22" s="88" t="s">
        <v>214</v>
      </c>
      <c r="AD22" s="89">
        <v>0.52</v>
      </c>
      <c r="AE22"/>
      <c r="AF22" s="25" t="s">
        <v>47</v>
      </c>
      <c r="AG22"/>
      <c r="AH22" s="88" t="s">
        <v>214</v>
      </c>
      <c r="AI22" s="89">
        <v>0.52</v>
      </c>
      <c r="AJ22"/>
      <c r="AK22" s="25" t="s">
        <v>41</v>
      </c>
      <c r="AL22"/>
      <c r="AM22" s="88" t="s">
        <v>214</v>
      </c>
      <c r="AN22" s="89">
        <v>0.47</v>
      </c>
    </row>
    <row r="23" spans="1:40" s="1" customFormat="1" ht="12.95" customHeight="1" thickBot="1">
      <c r="A23" s="2" t="s">
        <v>60</v>
      </c>
      <c r="B23" s="2" t="s">
        <v>49</v>
      </c>
      <c r="C23" s="15">
        <v>143</v>
      </c>
      <c r="D23" s="13" t="s">
        <v>41</v>
      </c>
      <c r="E23" s="2" t="s">
        <v>41</v>
      </c>
      <c r="F23" s="2" t="s">
        <v>36</v>
      </c>
      <c r="G23" s="2" t="s">
        <v>36</v>
      </c>
      <c r="H23" s="2" t="s">
        <v>36</v>
      </c>
      <c r="J23" s="16" t="s">
        <v>117</v>
      </c>
      <c r="L23"/>
      <c r="M23" s="19" t="s">
        <v>116</v>
      </c>
      <c r="N23" s="20" t="s">
        <v>117</v>
      </c>
      <c r="O23" s="21" t="s">
        <v>118</v>
      </c>
      <c r="P23"/>
      <c r="Q23"/>
      <c r="R23" s="19" t="s">
        <v>116</v>
      </c>
      <c r="S23" s="20" t="s">
        <v>117</v>
      </c>
      <c r="T23" s="21" t="s">
        <v>118</v>
      </c>
      <c r="U23"/>
      <c r="V23"/>
      <c r="W23" s="19" t="s">
        <v>116</v>
      </c>
      <c r="X23" s="20" t="s">
        <v>117</v>
      </c>
      <c r="Y23" s="21" t="s">
        <v>118</v>
      </c>
      <c r="AA23"/>
      <c r="AB23" s="19" t="s">
        <v>116</v>
      </c>
      <c r="AC23" s="20" t="s">
        <v>117</v>
      </c>
      <c r="AD23" s="21" t="s">
        <v>118</v>
      </c>
      <c r="AE23"/>
      <c r="AF23"/>
      <c r="AG23" s="19" t="s">
        <v>116</v>
      </c>
      <c r="AH23" s="20" t="s">
        <v>117</v>
      </c>
      <c r="AI23" s="21" t="s">
        <v>118</v>
      </c>
      <c r="AJ23"/>
      <c r="AK23"/>
      <c r="AL23" s="19" t="s">
        <v>116</v>
      </c>
      <c r="AM23" s="20" t="s">
        <v>117</v>
      </c>
      <c r="AN23" s="21" t="s">
        <v>118</v>
      </c>
    </row>
    <row r="24" spans="1:40" s="1" customFormat="1" ht="12.95" customHeight="1" thickBot="1">
      <c r="A24" s="2" t="s">
        <v>61</v>
      </c>
      <c r="B24" s="2" t="s">
        <v>39</v>
      </c>
      <c r="C24" s="15">
        <v>754</v>
      </c>
      <c r="D24" s="13" t="s">
        <v>35</v>
      </c>
      <c r="E24" s="2" t="s">
        <v>41</v>
      </c>
      <c r="F24" s="2" t="s">
        <v>36</v>
      </c>
      <c r="G24" s="2" t="s">
        <v>36</v>
      </c>
      <c r="H24" s="2" t="s">
        <v>36</v>
      </c>
      <c r="J24" s="17" t="s">
        <v>118</v>
      </c>
      <c r="L24" s="22" t="s">
        <v>109</v>
      </c>
      <c r="M24" s="26">
        <v>4.4000000000000004</v>
      </c>
      <c r="N24" s="27">
        <v>4.4000000000000004</v>
      </c>
      <c r="O24" s="28">
        <v>4.4000000000000004</v>
      </c>
      <c r="Q24" s="22" t="s">
        <v>109</v>
      </c>
      <c r="R24" s="26">
        <v>4.4000000000000004</v>
      </c>
      <c r="S24" s="27">
        <v>4.4000000000000004</v>
      </c>
      <c r="T24" s="28">
        <v>4.4000000000000004</v>
      </c>
      <c r="V24" s="22" t="s">
        <v>109</v>
      </c>
      <c r="W24" s="26">
        <v>3.5</v>
      </c>
      <c r="X24" s="27">
        <v>3.5</v>
      </c>
      <c r="Y24" s="28">
        <v>3.5</v>
      </c>
      <c r="AA24" s="22" t="s">
        <v>109</v>
      </c>
      <c r="AB24" s="26">
        <v>4.4000000000000004</v>
      </c>
      <c r="AC24" s="27">
        <v>4.4000000000000004</v>
      </c>
      <c r="AD24" s="28">
        <v>4.4000000000000004</v>
      </c>
      <c r="AF24" s="22" t="s">
        <v>109</v>
      </c>
      <c r="AG24" s="26">
        <v>4.4000000000000004</v>
      </c>
      <c r="AH24" s="27">
        <v>4.4000000000000004</v>
      </c>
      <c r="AI24" s="28">
        <v>4.4000000000000004</v>
      </c>
      <c r="AK24" s="22" t="s">
        <v>109</v>
      </c>
      <c r="AL24" s="26">
        <v>3.5</v>
      </c>
      <c r="AM24" s="27">
        <v>3.5</v>
      </c>
      <c r="AN24" s="28">
        <v>3.5</v>
      </c>
    </row>
    <row r="25" spans="1:40" s="1" customFormat="1" ht="12.95" customHeight="1">
      <c r="A25" s="2" t="s">
        <v>62</v>
      </c>
      <c r="B25" s="2" t="s">
        <v>34</v>
      </c>
      <c r="C25" s="15">
        <v>708</v>
      </c>
      <c r="D25" s="13" t="s">
        <v>41</v>
      </c>
      <c r="E25" s="2" t="s">
        <v>36</v>
      </c>
      <c r="F25" s="2" t="s">
        <v>36</v>
      </c>
      <c r="G25" s="2" t="s">
        <v>36</v>
      </c>
      <c r="H25" s="2" t="s">
        <v>36</v>
      </c>
      <c r="L25" s="23" t="s">
        <v>110</v>
      </c>
      <c r="M25" s="29">
        <v>3.4</v>
      </c>
      <c r="N25" s="30">
        <v>3.9</v>
      </c>
      <c r="O25" s="31">
        <v>4.4000000000000004</v>
      </c>
      <c r="Q25" s="23" t="s">
        <v>110</v>
      </c>
      <c r="R25" s="29">
        <v>3.4</v>
      </c>
      <c r="S25" s="30">
        <v>3.9</v>
      </c>
      <c r="T25" s="31">
        <v>4.4000000000000004</v>
      </c>
      <c r="V25" s="23" t="s">
        <v>110</v>
      </c>
      <c r="W25" s="29">
        <v>3</v>
      </c>
      <c r="X25" s="30">
        <v>3.5</v>
      </c>
      <c r="Y25" s="31">
        <v>3.5</v>
      </c>
      <c r="AA25" s="23" t="s">
        <v>110</v>
      </c>
      <c r="AB25" s="29">
        <v>4.2</v>
      </c>
      <c r="AC25" s="30">
        <v>4.4000000000000004</v>
      </c>
      <c r="AD25" s="31">
        <v>4.4000000000000004</v>
      </c>
      <c r="AF25" s="23" t="s">
        <v>110</v>
      </c>
      <c r="AG25" s="29">
        <v>4.2</v>
      </c>
      <c r="AH25" s="30">
        <v>4.4000000000000004</v>
      </c>
      <c r="AI25" s="31">
        <v>4.4000000000000004</v>
      </c>
      <c r="AK25" s="23" t="s">
        <v>110</v>
      </c>
      <c r="AL25" s="29">
        <v>3.5</v>
      </c>
      <c r="AM25" s="30">
        <v>3.5</v>
      </c>
      <c r="AN25" s="31">
        <v>3.5</v>
      </c>
    </row>
    <row r="26" spans="1:40" s="1" customFormat="1" ht="12.95" customHeight="1">
      <c r="A26" s="2" t="s">
        <v>63</v>
      </c>
      <c r="B26" s="2" t="s">
        <v>38</v>
      </c>
      <c r="C26" s="15">
        <v>50</v>
      </c>
      <c r="D26" s="13" t="s">
        <v>44</v>
      </c>
      <c r="E26" s="2" t="s">
        <v>40</v>
      </c>
      <c r="F26" s="2" t="s">
        <v>40</v>
      </c>
      <c r="G26" s="2" t="s">
        <v>41</v>
      </c>
      <c r="H26" s="2" t="s">
        <v>41</v>
      </c>
      <c r="L26" s="23" t="s">
        <v>111</v>
      </c>
      <c r="M26" s="29">
        <v>2.9</v>
      </c>
      <c r="N26" s="30">
        <v>3.3</v>
      </c>
      <c r="O26" s="31">
        <v>4.3</v>
      </c>
      <c r="Q26" s="23" t="s">
        <v>111</v>
      </c>
      <c r="R26" s="29">
        <v>2.9</v>
      </c>
      <c r="S26" s="30">
        <v>3.3</v>
      </c>
      <c r="T26" s="31">
        <v>4.3</v>
      </c>
      <c r="V26" s="23" t="s">
        <v>111</v>
      </c>
      <c r="W26" s="29">
        <v>2.5</v>
      </c>
      <c r="X26" s="30">
        <v>2.9</v>
      </c>
      <c r="Y26" s="31">
        <v>3.5</v>
      </c>
      <c r="AA26" s="23" t="s">
        <v>111</v>
      </c>
      <c r="AB26" s="29">
        <v>3.3</v>
      </c>
      <c r="AC26" s="30">
        <v>3.8</v>
      </c>
      <c r="AD26" s="31">
        <v>4.4000000000000004</v>
      </c>
      <c r="AF26" s="23" t="s">
        <v>111</v>
      </c>
      <c r="AG26" s="29">
        <v>3.3</v>
      </c>
      <c r="AH26" s="30">
        <v>3.8</v>
      </c>
      <c r="AI26" s="31">
        <v>4.4000000000000004</v>
      </c>
      <c r="AK26" s="23" t="s">
        <v>111</v>
      </c>
      <c r="AL26" s="29">
        <v>2.9</v>
      </c>
      <c r="AM26" s="30">
        <v>3.3</v>
      </c>
      <c r="AN26" s="31">
        <v>3.5</v>
      </c>
    </row>
    <row r="27" spans="1:40" s="1" customFormat="1" ht="12.95" customHeight="1">
      <c r="A27" s="2" t="s">
        <v>64</v>
      </c>
      <c r="B27" s="2" t="s">
        <v>35</v>
      </c>
      <c r="C27" s="15">
        <v>432</v>
      </c>
      <c r="D27" s="13" t="s">
        <v>36</v>
      </c>
      <c r="E27" s="2" t="s">
        <v>36</v>
      </c>
      <c r="F27" s="2" t="s">
        <v>36</v>
      </c>
      <c r="G27" s="2" t="s">
        <v>36</v>
      </c>
      <c r="H27" s="2" t="s">
        <v>36</v>
      </c>
      <c r="L27" s="23" t="s">
        <v>112</v>
      </c>
      <c r="M27" s="29">
        <v>2.6</v>
      </c>
      <c r="N27" s="30">
        <v>3</v>
      </c>
      <c r="O27" s="31">
        <v>3.9</v>
      </c>
      <c r="Q27" s="23" t="s">
        <v>112</v>
      </c>
      <c r="R27" s="29">
        <v>2.6</v>
      </c>
      <c r="S27" s="30">
        <v>3</v>
      </c>
      <c r="T27" s="31">
        <v>3.9</v>
      </c>
      <c r="V27" s="23" t="s">
        <v>112</v>
      </c>
      <c r="W27" s="29">
        <v>2.2000000000000002</v>
      </c>
      <c r="X27" s="30">
        <v>2.6</v>
      </c>
      <c r="Y27" s="31">
        <v>3.4</v>
      </c>
      <c r="AA27" s="23" t="s">
        <v>112</v>
      </c>
      <c r="AB27" s="29">
        <v>2.9</v>
      </c>
      <c r="AC27" s="30">
        <v>3.3</v>
      </c>
      <c r="AD27" s="31">
        <v>4.0999999999999996</v>
      </c>
      <c r="AF27" s="23" t="s">
        <v>112</v>
      </c>
      <c r="AG27" s="29">
        <v>2.9</v>
      </c>
      <c r="AH27" s="30">
        <v>3.3</v>
      </c>
      <c r="AI27" s="31">
        <v>4.0999999999999996</v>
      </c>
      <c r="AK27" s="23" t="s">
        <v>112</v>
      </c>
      <c r="AL27" s="29">
        <v>2.5</v>
      </c>
      <c r="AM27" s="30">
        <v>2.9</v>
      </c>
      <c r="AN27" s="31">
        <v>3.5</v>
      </c>
    </row>
    <row r="28" spans="1:40" s="1" customFormat="1" ht="12.95" customHeight="1">
      <c r="A28" s="2" t="s">
        <v>65</v>
      </c>
      <c r="B28" s="2" t="s">
        <v>47</v>
      </c>
      <c r="C28" s="15">
        <v>436</v>
      </c>
      <c r="D28" s="13" t="s">
        <v>39</v>
      </c>
      <c r="E28" s="2" t="s">
        <v>35</v>
      </c>
      <c r="F28" s="2" t="s">
        <v>41</v>
      </c>
      <c r="G28" s="2" t="s">
        <v>36</v>
      </c>
      <c r="H28" s="2" t="s">
        <v>36</v>
      </c>
      <c r="L28" s="23" t="s">
        <v>113</v>
      </c>
      <c r="M28" s="29">
        <v>2.4</v>
      </c>
      <c r="N28" s="30">
        <v>2.8</v>
      </c>
      <c r="O28" s="31">
        <v>3.6</v>
      </c>
      <c r="Q28" s="23" t="s">
        <v>113</v>
      </c>
      <c r="R28" s="29">
        <v>2.4</v>
      </c>
      <c r="S28" s="30">
        <v>2.8</v>
      </c>
      <c r="T28" s="31">
        <v>3.6</v>
      </c>
      <c r="V28" s="23" t="s">
        <v>113</v>
      </c>
      <c r="W28" s="29">
        <v>2.1</v>
      </c>
      <c r="X28" s="30">
        <v>2.5</v>
      </c>
      <c r="Y28" s="31">
        <v>3.2</v>
      </c>
      <c r="AA28" s="23" t="s">
        <v>113</v>
      </c>
      <c r="AB28" s="29">
        <v>2.6</v>
      </c>
      <c r="AC28" s="30">
        <v>3</v>
      </c>
      <c r="AD28" s="31">
        <v>3.8</v>
      </c>
      <c r="AF28" s="23" t="s">
        <v>113</v>
      </c>
      <c r="AG28" s="29">
        <v>2.6</v>
      </c>
      <c r="AH28" s="30">
        <v>3</v>
      </c>
      <c r="AI28" s="31">
        <v>3.8</v>
      </c>
      <c r="AK28" s="23" t="s">
        <v>113</v>
      </c>
      <c r="AL28" s="29">
        <v>2.2000000000000002</v>
      </c>
      <c r="AM28" s="30">
        <v>2.6</v>
      </c>
      <c r="AN28" s="31">
        <v>3.4</v>
      </c>
    </row>
    <row r="29" spans="1:40" s="1" customFormat="1" ht="12.95" customHeight="1" thickBot="1">
      <c r="A29" s="2" t="s">
        <v>66</v>
      </c>
      <c r="B29" s="2" t="s">
        <v>36</v>
      </c>
      <c r="C29" s="15">
        <v>346</v>
      </c>
      <c r="D29" s="13" t="s">
        <v>36</v>
      </c>
      <c r="E29" s="2" t="s">
        <v>36</v>
      </c>
      <c r="F29" s="2" t="s">
        <v>36</v>
      </c>
      <c r="G29" s="2" t="s">
        <v>36</v>
      </c>
      <c r="H29" s="2" t="s">
        <v>36</v>
      </c>
      <c r="L29" s="24" t="s">
        <v>114</v>
      </c>
      <c r="M29" s="32">
        <v>2.2000000000000002</v>
      </c>
      <c r="N29" s="33">
        <v>2.7</v>
      </c>
      <c r="O29" s="34">
        <v>3.5</v>
      </c>
      <c r="Q29" s="24" t="s">
        <v>114</v>
      </c>
      <c r="R29" s="32">
        <v>2.2000000000000002</v>
      </c>
      <c r="S29" s="33">
        <v>2.7</v>
      </c>
      <c r="T29" s="34">
        <v>3.5</v>
      </c>
      <c r="V29" s="24" t="s">
        <v>114</v>
      </c>
      <c r="W29" s="32">
        <v>1.9</v>
      </c>
      <c r="X29" s="33">
        <v>2.2999999999999998</v>
      </c>
      <c r="Y29" s="34">
        <v>3</v>
      </c>
      <c r="AA29" s="24" t="s">
        <v>114</v>
      </c>
      <c r="AB29" s="32">
        <v>2.4</v>
      </c>
      <c r="AC29" s="33">
        <v>2.8</v>
      </c>
      <c r="AD29" s="34">
        <v>3.6</v>
      </c>
      <c r="AF29" s="24" t="s">
        <v>114</v>
      </c>
      <c r="AG29" s="32">
        <v>2.4</v>
      </c>
      <c r="AH29" s="33">
        <v>2.8</v>
      </c>
      <c r="AI29" s="34">
        <v>3.6</v>
      </c>
      <c r="AK29" s="24" t="s">
        <v>114</v>
      </c>
      <c r="AL29" s="32">
        <v>2.1</v>
      </c>
      <c r="AM29" s="33">
        <v>2.4</v>
      </c>
      <c r="AN29" s="34">
        <v>3.1</v>
      </c>
    </row>
    <row r="30" spans="1:40" s="1" customFormat="1" ht="12.95" customHeight="1" thickBot="1">
      <c r="A30" s="2" t="s">
        <v>67</v>
      </c>
      <c r="B30" s="2" t="s">
        <v>34</v>
      </c>
      <c r="C30" s="15">
        <v>131</v>
      </c>
      <c r="D30" s="13" t="s">
        <v>35</v>
      </c>
      <c r="E30" s="2" t="s">
        <v>36</v>
      </c>
      <c r="F30" s="2" t="s">
        <v>36</v>
      </c>
      <c r="G30" s="2" t="s">
        <v>36</v>
      </c>
      <c r="H30" s="2" t="s">
        <v>36</v>
      </c>
    </row>
    <row r="31" spans="1:40" s="1" customFormat="1" ht="12.95" customHeight="1" thickBot="1">
      <c r="A31" s="2" t="s">
        <v>68</v>
      </c>
      <c r="B31" s="2" t="s">
        <v>35</v>
      </c>
      <c r="C31" s="15">
        <v>379</v>
      </c>
      <c r="D31" s="13" t="s">
        <v>41</v>
      </c>
      <c r="E31" s="2" t="s">
        <v>36</v>
      </c>
      <c r="F31" s="2" t="s">
        <v>36</v>
      </c>
      <c r="G31" s="2" t="s">
        <v>36</v>
      </c>
      <c r="H31" s="2" t="s">
        <v>36</v>
      </c>
      <c r="L31" s="25" t="s">
        <v>35</v>
      </c>
      <c r="M31"/>
      <c r="N31" s="88" t="s">
        <v>218</v>
      </c>
      <c r="O31" s="89">
        <v>0.66</v>
      </c>
      <c r="P31"/>
      <c r="Q31" s="25" t="s">
        <v>34</v>
      </c>
      <c r="R31"/>
      <c r="S31" s="88" t="s">
        <v>218</v>
      </c>
      <c r="T31" s="89">
        <v>0.66</v>
      </c>
      <c r="U31"/>
      <c r="V31" s="25" t="s">
        <v>36</v>
      </c>
      <c r="W31"/>
      <c r="X31" s="88" t="s">
        <v>218</v>
      </c>
      <c r="Y31" s="89">
        <v>0.56999999999999995</v>
      </c>
      <c r="AA31" s="25" t="s">
        <v>35</v>
      </c>
      <c r="AB31"/>
      <c r="AC31" s="88" t="s">
        <v>214</v>
      </c>
      <c r="AD31" s="89">
        <v>0.47</v>
      </c>
      <c r="AE31"/>
      <c r="AF31" s="25" t="s">
        <v>34</v>
      </c>
      <c r="AG31"/>
      <c r="AH31" s="88" t="s">
        <v>214</v>
      </c>
      <c r="AI31" s="89">
        <v>0.47</v>
      </c>
      <c r="AJ31"/>
      <c r="AK31" s="25" t="s">
        <v>36</v>
      </c>
      <c r="AL31"/>
      <c r="AM31" s="88" t="s">
        <v>214</v>
      </c>
      <c r="AN31" s="89">
        <v>0.43</v>
      </c>
    </row>
    <row r="32" spans="1:40" s="1" customFormat="1" ht="12.95" customHeight="1" thickBot="1">
      <c r="A32" s="2" t="s">
        <v>69</v>
      </c>
      <c r="B32" s="2" t="s">
        <v>41</v>
      </c>
      <c r="C32" s="15">
        <v>412</v>
      </c>
      <c r="D32" s="13" t="s">
        <v>36</v>
      </c>
      <c r="E32" s="2" t="s">
        <v>36</v>
      </c>
      <c r="F32" s="2" t="s">
        <v>36</v>
      </c>
      <c r="G32" s="2" t="s">
        <v>36</v>
      </c>
      <c r="H32" s="2" t="s">
        <v>36</v>
      </c>
      <c r="L32"/>
      <c r="M32" s="19" t="s">
        <v>116</v>
      </c>
      <c r="N32" s="20" t="s">
        <v>117</v>
      </c>
      <c r="O32" s="21" t="s">
        <v>118</v>
      </c>
      <c r="P32"/>
      <c r="Q32"/>
      <c r="R32" s="19" t="s">
        <v>116</v>
      </c>
      <c r="S32" s="20" t="s">
        <v>117</v>
      </c>
      <c r="T32" s="21" t="s">
        <v>118</v>
      </c>
      <c r="U32"/>
      <c r="V32"/>
      <c r="W32" s="19" t="s">
        <v>116</v>
      </c>
      <c r="X32" s="20" t="s">
        <v>117</v>
      </c>
      <c r="Y32" s="21" t="s">
        <v>118</v>
      </c>
      <c r="AA32"/>
      <c r="AB32" s="19" t="s">
        <v>116</v>
      </c>
      <c r="AC32" s="20" t="s">
        <v>117</v>
      </c>
      <c r="AD32" s="21" t="s">
        <v>118</v>
      </c>
      <c r="AE32"/>
      <c r="AF32"/>
      <c r="AG32" s="19" t="s">
        <v>116</v>
      </c>
      <c r="AH32" s="20" t="s">
        <v>117</v>
      </c>
      <c r="AI32" s="21" t="s">
        <v>118</v>
      </c>
      <c r="AJ32"/>
      <c r="AK32"/>
      <c r="AL32" s="19" t="s">
        <v>116</v>
      </c>
      <c r="AM32" s="20" t="s">
        <v>117</v>
      </c>
      <c r="AN32" s="21" t="s">
        <v>118</v>
      </c>
    </row>
    <row r="33" spans="1:40" s="1" customFormat="1" ht="12.95" customHeight="1">
      <c r="A33" s="2" t="s">
        <v>70</v>
      </c>
      <c r="B33" s="2" t="s">
        <v>34</v>
      </c>
      <c r="C33" s="15">
        <v>589</v>
      </c>
      <c r="D33" s="13" t="s">
        <v>41</v>
      </c>
      <c r="E33" s="2" t="s">
        <v>36</v>
      </c>
      <c r="F33" s="2" t="s">
        <v>36</v>
      </c>
      <c r="G33" s="2" t="s">
        <v>36</v>
      </c>
      <c r="H33" s="2" t="s">
        <v>36</v>
      </c>
      <c r="L33" s="22" t="s">
        <v>109</v>
      </c>
      <c r="M33" s="26">
        <v>3.5</v>
      </c>
      <c r="N33" s="27">
        <v>3.5</v>
      </c>
      <c r="O33" s="28">
        <v>3.5</v>
      </c>
      <c r="Q33" s="22" t="s">
        <v>109</v>
      </c>
      <c r="R33" s="26">
        <v>3.5</v>
      </c>
      <c r="S33" s="27">
        <v>3.5</v>
      </c>
      <c r="T33" s="28">
        <v>3.5</v>
      </c>
      <c r="V33" s="22" t="s">
        <v>109</v>
      </c>
      <c r="W33" s="26">
        <v>3.1</v>
      </c>
      <c r="X33" s="27">
        <v>3.1</v>
      </c>
      <c r="Y33" s="28">
        <v>3.1</v>
      </c>
      <c r="AA33" s="22" t="s">
        <v>109</v>
      </c>
      <c r="AB33" s="26">
        <v>3.5</v>
      </c>
      <c r="AC33" s="27">
        <v>3.5</v>
      </c>
      <c r="AD33" s="28">
        <v>3.5</v>
      </c>
      <c r="AF33" s="22" t="s">
        <v>109</v>
      </c>
      <c r="AG33" s="26">
        <v>3.5</v>
      </c>
      <c r="AH33" s="27">
        <v>3.5</v>
      </c>
      <c r="AI33" s="28">
        <v>3.5</v>
      </c>
      <c r="AK33" s="22" t="s">
        <v>109</v>
      </c>
      <c r="AL33" s="26">
        <v>3.1</v>
      </c>
      <c r="AM33" s="27">
        <v>3.1</v>
      </c>
      <c r="AN33" s="28">
        <v>3.1</v>
      </c>
    </row>
    <row r="34" spans="1:40" s="1" customFormat="1" ht="12.95" customHeight="1">
      <c r="A34" s="2" t="s">
        <v>71</v>
      </c>
      <c r="B34" s="2" t="s">
        <v>54</v>
      </c>
      <c r="C34" s="15">
        <v>0</v>
      </c>
      <c r="D34" s="13" t="s">
        <v>44</v>
      </c>
      <c r="E34" s="2" t="s">
        <v>40</v>
      </c>
      <c r="F34" s="2" t="s">
        <v>40</v>
      </c>
      <c r="G34" s="2" t="s">
        <v>41</v>
      </c>
      <c r="H34" s="2" t="s">
        <v>41</v>
      </c>
      <c r="L34" s="23" t="s">
        <v>110</v>
      </c>
      <c r="M34" s="29">
        <v>3</v>
      </c>
      <c r="N34" s="30">
        <v>3.5</v>
      </c>
      <c r="O34" s="31">
        <v>3.5</v>
      </c>
      <c r="Q34" s="23" t="s">
        <v>110</v>
      </c>
      <c r="R34" s="29">
        <v>3</v>
      </c>
      <c r="S34" s="30">
        <v>3.5</v>
      </c>
      <c r="T34" s="31">
        <v>3.5</v>
      </c>
      <c r="V34" s="23" t="s">
        <v>110</v>
      </c>
      <c r="W34" s="29">
        <v>3.1</v>
      </c>
      <c r="X34" s="30">
        <v>3.1</v>
      </c>
      <c r="Y34" s="31">
        <v>3.1</v>
      </c>
      <c r="AA34" s="23" t="s">
        <v>110</v>
      </c>
      <c r="AB34" s="29">
        <v>3.5</v>
      </c>
      <c r="AC34" s="30">
        <v>3.5</v>
      </c>
      <c r="AD34" s="31">
        <v>3.5</v>
      </c>
      <c r="AF34" s="23" t="s">
        <v>110</v>
      </c>
      <c r="AG34" s="29">
        <v>3.5</v>
      </c>
      <c r="AH34" s="30">
        <v>3.5</v>
      </c>
      <c r="AI34" s="31">
        <v>3.5</v>
      </c>
      <c r="AK34" s="23" t="s">
        <v>110</v>
      </c>
      <c r="AL34" s="29">
        <v>3.1</v>
      </c>
      <c r="AM34" s="30">
        <v>3.1</v>
      </c>
      <c r="AN34" s="31">
        <v>3.1</v>
      </c>
    </row>
    <row r="35" spans="1:40" s="1" customFormat="1" ht="12.95" customHeight="1">
      <c r="A35" s="2" t="s">
        <v>72</v>
      </c>
      <c r="B35" s="2" t="s">
        <v>54</v>
      </c>
      <c r="C35" s="15">
        <v>130</v>
      </c>
      <c r="D35" s="13" t="s">
        <v>44</v>
      </c>
      <c r="E35" s="2" t="s">
        <v>44</v>
      </c>
      <c r="F35" s="2" t="s">
        <v>40</v>
      </c>
      <c r="G35" s="2" t="s">
        <v>40</v>
      </c>
      <c r="H35" s="2" t="s">
        <v>41</v>
      </c>
      <c r="L35" s="23" t="s">
        <v>111</v>
      </c>
      <c r="M35" s="29">
        <v>2.5</v>
      </c>
      <c r="N35" s="30">
        <v>2.9</v>
      </c>
      <c r="O35" s="31">
        <v>3.5</v>
      </c>
      <c r="Q35" s="23" t="s">
        <v>111</v>
      </c>
      <c r="R35" s="29">
        <v>2.5</v>
      </c>
      <c r="S35" s="30">
        <v>2.9</v>
      </c>
      <c r="T35" s="31">
        <v>3.5</v>
      </c>
      <c r="V35" s="23" t="s">
        <v>111</v>
      </c>
      <c r="W35" s="29">
        <v>2.6</v>
      </c>
      <c r="X35" s="30">
        <v>3</v>
      </c>
      <c r="Y35" s="31">
        <v>3.1</v>
      </c>
      <c r="AA35" s="23" t="s">
        <v>111</v>
      </c>
      <c r="AB35" s="29">
        <v>2.9</v>
      </c>
      <c r="AC35" s="30">
        <v>3.3</v>
      </c>
      <c r="AD35" s="31">
        <v>3.5</v>
      </c>
      <c r="AF35" s="23" t="s">
        <v>111</v>
      </c>
      <c r="AG35" s="29">
        <v>2.9</v>
      </c>
      <c r="AH35" s="30">
        <v>3.3</v>
      </c>
      <c r="AI35" s="31">
        <v>3.5</v>
      </c>
      <c r="AK35" s="23" t="s">
        <v>111</v>
      </c>
      <c r="AL35" s="29">
        <v>2.9</v>
      </c>
      <c r="AM35" s="30">
        <v>3.1</v>
      </c>
      <c r="AN35" s="31">
        <v>3.1</v>
      </c>
    </row>
    <row r="36" spans="1:40" s="1" customFormat="1" ht="12.95" customHeight="1">
      <c r="A36" s="2" t="s">
        <v>73</v>
      </c>
      <c r="B36" s="2" t="s">
        <v>44</v>
      </c>
      <c r="C36" s="15">
        <v>25</v>
      </c>
      <c r="D36" s="13" t="s">
        <v>49</v>
      </c>
      <c r="E36" s="2" t="s">
        <v>40</v>
      </c>
      <c r="F36" s="2" t="s">
        <v>41</v>
      </c>
      <c r="G36" s="2" t="s">
        <v>41</v>
      </c>
      <c r="H36" s="2" t="s">
        <v>36</v>
      </c>
      <c r="L36" s="23" t="s">
        <v>112</v>
      </c>
      <c r="M36" s="29">
        <v>2.2000000000000002</v>
      </c>
      <c r="N36" s="30">
        <v>2.6</v>
      </c>
      <c r="O36" s="31">
        <v>3.4</v>
      </c>
      <c r="Q36" s="23" t="s">
        <v>112</v>
      </c>
      <c r="R36" s="29">
        <v>2.2000000000000002</v>
      </c>
      <c r="S36" s="30">
        <v>2.6</v>
      </c>
      <c r="T36" s="31">
        <v>3.4</v>
      </c>
      <c r="V36" s="23" t="s">
        <v>112</v>
      </c>
      <c r="W36" s="29">
        <v>2.2000000000000002</v>
      </c>
      <c r="X36" s="30">
        <v>2.7</v>
      </c>
      <c r="Y36" s="31">
        <v>3.1</v>
      </c>
      <c r="AA36" s="23" t="s">
        <v>112</v>
      </c>
      <c r="AB36" s="29">
        <v>2.5</v>
      </c>
      <c r="AC36" s="30">
        <v>2.9</v>
      </c>
      <c r="AD36" s="31">
        <v>3.5</v>
      </c>
      <c r="AF36" s="23" t="s">
        <v>112</v>
      </c>
      <c r="AG36" s="29">
        <v>2.5</v>
      </c>
      <c r="AH36" s="30">
        <v>2.9</v>
      </c>
      <c r="AI36" s="31">
        <v>3.5</v>
      </c>
      <c r="AK36" s="23" t="s">
        <v>112</v>
      </c>
      <c r="AL36" s="29">
        <v>2.4</v>
      </c>
      <c r="AM36" s="30">
        <v>2.8</v>
      </c>
      <c r="AN36" s="31">
        <v>3.1</v>
      </c>
    </row>
    <row r="37" spans="1:40" s="1" customFormat="1" ht="12.95" customHeight="1">
      <c r="A37" s="2" t="s">
        <v>74</v>
      </c>
      <c r="B37" s="2" t="s">
        <v>49</v>
      </c>
      <c r="C37" s="15">
        <v>327</v>
      </c>
      <c r="D37" s="13" t="s">
        <v>41</v>
      </c>
      <c r="E37" s="2" t="s">
        <v>36</v>
      </c>
      <c r="F37" s="2" t="s">
        <v>36</v>
      </c>
      <c r="G37" s="2" t="s">
        <v>36</v>
      </c>
      <c r="H37" s="2" t="s">
        <v>36</v>
      </c>
      <c r="L37" s="23" t="s">
        <v>113</v>
      </c>
      <c r="M37" s="29">
        <v>2.1</v>
      </c>
      <c r="N37" s="30">
        <v>2.5</v>
      </c>
      <c r="O37" s="31">
        <v>3.2</v>
      </c>
      <c r="Q37" s="23" t="s">
        <v>113</v>
      </c>
      <c r="R37" s="29">
        <v>2.1</v>
      </c>
      <c r="S37" s="30">
        <v>2.5</v>
      </c>
      <c r="T37" s="31">
        <v>3.2</v>
      </c>
      <c r="V37" s="23" t="s">
        <v>113</v>
      </c>
      <c r="W37" s="29">
        <v>2</v>
      </c>
      <c r="X37" s="30">
        <v>2.4</v>
      </c>
      <c r="Y37" s="31">
        <v>3.1</v>
      </c>
      <c r="AA37" s="23" t="s">
        <v>113</v>
      </c>
      <c r="AB37" s="29">
        <v>2.2000000000000002</v>
      </c>
      <c r="AC37" s="30">
        <v>2.6</v>
      </c>
      <c r="AD37" s="31">
        <v>3.4</v>
      </c>
      <c r="AF37" s="23" t="s">
        <v>113</v>
      </c>
      <c r="AG37" s="29">
        <v>2.2000000000000002</v>
      </c>
      <c r="AH37" s="30">
        <v>2.6</v>
      </c>
      <c r="AI37" s="31">
        <v>3.4</v>
      </c>
      <c r="AK37" s="23" t="s">
        <v>113</v>
      </c>
      <c r="AL37" s="29">
        <v>2.2000000000000002</v>
      </c>
      <c r="AM37" s="30">
        <v>2.6</v>
      </c>
      <c r="AN37" s="31">
        <v>3.1</v>
      </c>
    </row>
    <row r="38" spans="1:40" s="1" customFormat="1" ht="12.95" customHeight="1" thickBot="1">
      <c r="A38" s="2" t="s">
        <v>75</v>
      </c>
      <c r="B38" s="2" t="s">
        <v>40</v>
      </c>
      <c r="C38" s="15">
        <v>214</v>
      </c>
      <c r="D38" s="13" t="s">
        <v>41</v>
      </c>
      <c r="E38" s="2" t="s">
        <v>41</v>
      </c>
      <c r="F38" s="2" t="s">
        <v>36</v>
      </c>
      <c r="G38" s="2" t="s">
        <v>36</v>
      </c>
      <c r="H38" s="2" t="s">
        <v>36</v>
      </c>
      <c r="L38" s="24" t="s">
        <v>114</v>
      </c>
      <c r="M38" s="32">
        <v>1.9</v>
      </c>
      <c r="N38" s="33">
        <v>2.2999999999999998</v>
      </c>
      <c r="O38" s="34">
        <v>3</v>
      </c>
      <c r="Q38" s="24" t="s">
        <v>114</v>
      </c>
      <c r="R38" s="32">
        <v>1.9</v>
      </c>
      <c r="S38" s="33">
        <v>2.2999999999999998</v>
      </c>
      <c r="T38" s="34">
        <v>3</v>
      </c>
      <c r="V38" s="24" t="s">
        <v>114</v>
      </c>
      <c r="W38" s="32">
        <v>1.9</v>
      </c>
      <c r="X38" s="33">
        <v>2.2999999999999998</v>
      </c>
      <c r="Y38" s="34">
        <v>3</v>
      </c>
      <c r="AA38" s="24" t="s">
        <v>114</v>
      </c>
      <c r="AB38" s="32">
        <v>2.1</v>
      </c>
      <c r="AC38" s="33">
        <v>2.4</v>
      </c>
      <c r="AD38" s="34">
        <v>3.1</v>
      </c>
      <c r="AF38" s="24" t="s">
        <v>114</v>
      </c>
      <c r="AG38" s="32">
        <v>2.1</v>
      </c>
      <c r="AH38" s="33">
        <v>2.4</v>
      </c>
      <c r="AI38" s="34">
        <v>3.1</v>
      </c>
      <c r="AK38" s="24" t="s">
        <v>114</v>
      </c>
      <c r="AL38" s="32">
        <v>2</v>
      </c>
      <c r="AM38" s="33">
        <v>2.4</v>
      </c>
      <c r="AN38" s="34">
        <v>3.1</v>
      </c>
    </row>
    <row r="39" spans="1:40" s="1" customFormat="1" ht="12.95" customHeight="1" thickBot="1">
      <c r="A39" s="2" t="s">
        <v>76</v>
      </c>
      <c r="B39" s="2" t="s">
        <v>41</v>
      </c>
      <c r="C39" s="15">
        <v>722</v>
      </c>
      <c r="D39" s="13" t="s">
        <v>36</v>
      </c>
      <c r="E39" s="2" t="s">
        <v>36</v>
      </c>
      <c r="F39" s="2" t="s">
        <v>36</v>
      </c>
      <c r="G39" s="2" t="s">
        <v>36</v>
      </c>
      <c r="H39" s="2" t="s">
        <v>36</v>
      </c>
    </row>
    <row r="40" spans="1:40" s="1" customFormat="1" ht="12.95" customHeight="1">
      <c r="A40" s="2" t="s">
        <v>77</v>
      </c>
      <c r="B40" s="2" t="s">
        <v>44</v>
      </c>
      <c r="C40" s="15">
        <v>1</v>
      </c>
      <c r="D40" s="13" t="s">
        <v>44</v>
      </c>
      <c r="E40" s="2" t="s">
        <v>40</v>
      </c>
      <c r="F40" s="2" t="s">
        <v>40</v>
      </c>
      <c r="G40" s="2" t="s">
        <v>41</v>
      </c>
      <c r="H40" s="2" t="s">
        <v>41</v>
      </c>
      <c r="L40" s="734" t="s">
        <v>121</v>
      </c>
      <c r="M40" s="735"/>
      <c r="O40" s="732" t="s">
        <v>123</v>
      </c>
      <c r="Q40" s="734" t="s">
        <v>216</v>
      </c>
      <c r="R40" s="735"/>
      <c r="T40" s="732" t="s">
        <v>217</v>
      </c>
      <c r="AA40" s="734" t="s">
        <v>121</v>
      </c>
      <c r="AB40" s="735"/>
      <c r="AD40" s="732" t="s">
        <v>123</v>
      </c>
      <c r="AF40" s="734" t="s">
        <v>216</v>
      </c>
      <c r="AG40" s="735"/>
      <c r="AI40" s="732" t="s">
        <v>217</v>
      </c>
    </row>
    <row r="41" spans="1:40" s="1" customFormat="1" ht="12.95" customHeight="1" thickBot="1">
      <c r="A41" s="2" t="s">
        <v>103</v>
      </c>
      <c r="B41" s="2" t="s">
        <v>54</v>
      </c>
      <c r="C41" s="15">
        <v>114</v>
      </c>
      <c r="D41" s="13" t="s">
        <v>54</v>
      </c>
      <c r="E41" s="2" t="s">
        <v>54</v>
      </c>
      <c r="F41" s="2" t="s">
        <v>54</v>
      </c>
      <c r="G41" s="2" t="s">
        <v>44</v>
      </c>
      <c r="H41" s="2" t="s">
        <v>44</v>
      </c>
      <c r="L41" s="736" t="s">
        <v>122</v>
      </c>
      <c r="M41" s="737"/>
      <c r="O41" s="733"/>
      <c r="Q41" s="736" t="s">
        <v>219</v>
      </c>
      <c r="R41" s="737"/>
      <c r="T41" s="733"/>
      <c r="AA41" s="736" t="s">
        <v>122</v>
      </c>
      <c r="AB41" s="737"/>
      <c r="AD41" s="733"/>
      <c r="AF41" s="736" t="s">
        <v>215</v>
      </c>
      <c r="AG41" s="737"/>
      <c r="AI41" s="733"/>
    </row>
    <row r="42" spans="1:40" s="1" customFormat="1" ht="12.95" customHeight="1">
      <c r="A42" s="2" t="s">
        <v>78</v>
      </c>
      <c r="B42" s="2" t="s">
        <v>41</v>
      </c>
      <c r="C42" s="15">
        <v>456</v>
      </c>
      <c r="D42" s="13" t="s">
        <v>36</v>
      </c>
      <c r="E42" s="2" t="s">
        <v>36</v>
      </c>
      <c r="F42" s="2" t="s">
        <v>36</v>
      </c>
      <c r="G42" s="2" t="s">
        <v>36</v>
      </c>
      <c r="H42" s="2" t="s">
        <v>36</v>
      </c>
      <c r="L42" s="35" t="s">
        <v>54</v>
      </c>
      <c r="M42" s="36" t="e">
        <f>INDEX(M6:O11,MATCH($D$2,L6:L11,0),MATCH($E$2,M5:O5,0))</f>
        <v>#N/A</v>
      </c>
      <c r="O42" s="726" t="e">
        <f>VLOOKUP($C$2,L42:M53,2)</f>
        <v>#N/A</v>
      </c>
      <c r="Q42" s="35" t="s">
        <v>54</v>
      </c>
      <c r="R42" s="90">
        <v>0.94</v>
      </c>
      <c r="T42" s="729" t="e">
        <f>VLOOKUP($C$2,Q42:R53,2)</f>
        <v>#N/A</v>
      </c>
      <c r="AA42" s="35" t="s">
        <v>54</v>
      </c>
      <c r="AB42" s="36" t="e">
        <f>INDEX(AB6:AD11,MATCH($D$2,AA6:AA11,0),MATCH($E$2,AB5:AD5,0))</f>
        <v>#N/A</v>
      </c>
      <c r="AD42" s="726" t="e">
        <f>VLOOKUP($C$2,AA42:AB53,2)</f>
        <v>#N/A</v>
      </c>
      <c r="AF42" s="35" t="s">
        <v>54</v>
      </c>
      <c r="AG42" s="90">
        <v>0.67</v>
      </c>
      <c r="AI42" s="729" t="e">
        <f>VLOOKUP($C$2,AF42:AG53,2)</f>
        <v>#N/A</v>
      </c>
    </row>
    <row r="43" spans="1:40" s="1" customFormat="1" ht="12.95" customHeight="1">
      <c r="A43" s="2" t="s">
        <v>79</v>
      </c>
      <c r="B43" s="2" t="s">
        <v>40</v>
      </c>
      <c r="C43" s="15">
        <v>77</v>
      </c>
      <c r="D43" s="13" t="s">
        <v>40</v>
      </c>
      <c r="E43" s="2" t="s">
        <v>41</v>
      </c>
      <c r="F43" s="2" t="s">
        <v>41</v>
      </c>
      <c r="G43" s="2" t="s">
        <v>36</v>
      </c>
      <c r="H43" s="2" t="s">
        <v>36</v>
      </c>
      <c r="L43" s="37" t="s">
        <v>43</v>
      </c>
      <c r="M43" s="38" t="e">
        <f>INDEX(R6:T11,MATCH($D$2,Q6:Q11,0),MATCH($E$2,R5:T5,0))</f>
        <v>#N/A</v>
      </c>
      <c r="O43" s="727"/>
      <c r="Q43" s="37" t="s">
        <v>43</v>
      </c>
      <c r="R43" s="91">
        <v>0.94</v>
      </c>
      <c r="T43" s="730"/>
      <c r="AA43" s="37" t="s">
        <v>43</v>
      </c>
      <c r="AB43" s="38" t="e">
        <f>INDEX(AG6:AI11,MATCH($D$2,AF6:AF11,0),MATCH($E$2,AG5:AI5,0))</f>
        <v>#N/A</v>
      </c>
      <c r="AD43" s="727"/>
      <c r="AF43" s="37" t="s">
        <v>43</v>
      </c>
      <c r="AG43" s="91">
        <v>0.67</v>
      </c>
      <c r="AI43" s="730"/>
    </row>
    <row r="44" spans="1:40" s="1" customFormat="1" ht="12.95" customHeight="1" thickBot="1">
      <c r="A44" s="2" t="s">
        <v>80</v>
      </c>
      <c r="B44" s="2" t="s">
        <v>35</v>
      </c>
      <c r="C44" s="15">
        <v>770</v>
      </c>
      <c r="D44" s="13" t="s">
        <v>36</v>
      </c>
      <c r="E44" s="2" t="s">
        <v>36</v>
      </c>
      <c r="F44" s="2" t="s">
        <v>36</v>
      </c>
      <c r="G44" s="2" t="s">
        <v>36</v>
      </c>
      <c r="H44" s="2" t="s">
        <v>36</v>
      </c>
      <c r="L44" s="37" t="s">
        <v>44</v>
      </c>
      <c r="M44" s="38" t="e">
        <f>INDEX(W6:Y11,MATCH($D$2,V6:V11,0),MATCH($E$2,W5:Y5,0))</f>
        <v>#N/A</v>
      </c>
      <c r="O44" s="728"/>
      <c r="Q44" s="37" t="s">
        <v>44</v>
      </c>
      <c r="R44" s="91">
        <v>0.82</v>
      </c>
      <c r="T44" s="731"/>
      <c r="AA44" s="37" t="s">
        <v>44</v>
      </c>
      <c r="AB44" s="38" t="e">
        <f>INDEX(AL6:AN11,MATCH($D$2,AK6:AK11,0),MATCH($E$2,AL5:AN5,0))</f>
        <v>#N/A</v>
      </c>
      <c r="AD44" s="728"/>
      <c r="AF44" s="37" t="s">
        <v>44</v>
      </c>
      <c r="AG44" s="91">
        <v>0.57999999999999996</v>
      </c>
      <c r="AI44" s="731"/>
    </row>
    <row r="45" spans="1:40" s="1" customFormat="1" ht="12.95" customHeight="1">
      <c r="A45" s="2" t="s">
        <v>81</v>
      </c>
      <c r="B45" s="2" t="s">
        <v>54</v>
      </c>
      <c r="C45" s="15">
        <v>0</v>
      </c>
      <c r="D45" s="13" t="s">
        <v>54</v>
      </c>
      <c r="E45" s="2" t="s">
        <v>54</v>
      </c>
      <c r="F45" s="2" t="s">
        <v>54</v>
      </c>
      <c r="G45" s="2" t="s">
        <v>44</v>
      </c>
      <c r="H45" s="2" t="s">
        <v>44</v>
      </c>
      <c r="L45" s="37" t="s">
        <v>38</v>
      </c>
      <c r="M45" s="38" t="e">
        <f>INDEX(M15:O20,MATCH($D$2,L15:L20,0),MATCH($E$2,M14:O14,0))</f>
        <v>#N/A</v>
      </c>
      <c r="Q45" s="37" t="s">
        <v>38</v>
      </c>
      <c r="R45" s="91">
        <v>0.82</v>
      </c>
      <c r="AA45" s="37" t="s">
        <v>38</v>
      </c>
      <c r="AB45" s="38" t="e">
        <f>INDEX(AB15:AD20,MATCH($D$2,AA15:AA20,0),MATCH($E$2,AB14:AD14,0))</f>
        <v>#N/A</v>
      </c>
      <c r="AF45" s="37" t="s">
        <v>38</v>
      </c>
      <c r="AG45" s="91">
        <v>0.57999999999999996</v>
      </c>
    </row>
    <row r="46" spans="1:40" ht="12.95" customHeight="1">
      <c r="A46" s="2" t="s">
        <v>82</v>
      </c>
      <c r="B46" s="2" t="s">
        <v>40</v>
      </c>
      <c r="C46" s="15">
        <v>1</v>
      </c>
      <c r="D46" s="13" t="s">
        <v>40</v>
      </c>
      <c r="E46" s="2" t="s">
        <v>41</v>
      </c>
      <c r="F46" s="2" t="s">
        <v>41</v>
      </c>
      <c r="G46" s="2" t="s">
        <v>36</v>
      </c>
      <c r="H46" s="2" t="s">
        <v>36</v>
      </c>
      <c r="L46" s="37" t="s">
        <v>40</v>
      </c>
      <c r="M46" s="38" t="e">
        <f>INDEX(R15:T20,MATCH($D$2,Q15:Q20,0),MATCH($E$2,R14:T14,0))</f>
        <v>#N/A</v>
      </c>
      <c r="Q46" s="37" t="s">
        <v>40</v>
      </c>
      <c r="R46" s="91">
        <v>0.73</v>
      </c>
      <c r="AA46" s="37" t="s">
        <v>40</v>
      </c>
      <c r="AB46" s="38" t="e">
        <f>INDEX(AG15:AI20,MATCH($D$2,AF15:AF20,0),MATCH($E$2,AG14:AI14,0))</f>
        <v>#N/A</v>
      </c>
      <c r="AF46" s="37" t="s">
        <v>40</v>
      </c>
      <c r="AG46" s="91">
        <v>0.52</v>
      </c>
    </row>
    <row r="47" spans="1:40" ht="12.95" customHeight="1">
      <c r="A47" s="2" t="s">
        <v>83</v>
      </c>
      <c r="B47" s="2" t="s">
        <v>35</v>
      </c>
      <c r="C47" s="15">
        <v>1013</v>
      </c>
      <c r="D47" s="13" t="s">
        <v>36</v>
      </c>
      <c r="E47" s="2" t="s">
        <v>36</v>
      </c>
      <c r="F47" s="2" t="s">
        <v>36</v>
      </c>
      <c r="G47" s="2" t="s">
        <v>36</v>
      </c>
      <c r="H47" s="2" t="s">
        <v>36</v>
      </c>
      <c r="L47" s="37" t="s">
        <v>49</v>
      </c>
      <c r="M47" s="38" t="e">
        <f>INDEX(W15:Y20,MATCH($D$2,V15:V20,0),MATCH($E$2,W14:Y14,0))</f>
        <v>#N/A</v>
      </c>
      <c r="Q47" s="37" t="s">
        <v>49</v>
      </c>
      <c r="R47" s="91">
        <v>0.73</v>
      </c>
      <c r="AA47" s="37" t="s">
        <v>49</v>
      </c>
      <c r="AB47" s="38" t="e">
        <f>INDEX(AL15:AN20,MATCH($D$2,AK15:AK20,0),MATCH($E$2,AL14:AN14,0))</f>
        <v>#N/A</v>
      </c>
      <c r="AF47" s="37" t="s">
        <v>49</v>
      </c>
      <c r="AG47" s="91">
        <v>0.52</v>
      </c>
    </row>
    <row r="48" spans="1:40" ht="12.95" customHeight="1">
      <c r="A48" s="2" t="s">
        <v>84</v>
      </c>
      <c r="B48" s="2" t="s">
        <v>38</v>
      </c>
      <c r="C48" s="15">
        <v>9</v>
      </c>
      <c r="D48" s="13" t="s">
        <v>44</v>
      </c>
      <c r="E48" s="2" t="s">
        <v>49</v>
      </c>
      <c r="F48" s="2" t="s">
        <v>40</v>
      </c>
      <c r="G48" s="2" t="s">
        <v>41</v>
      </c>
      <c r="H48" s="2" t="s">
        <v>36</v>
      </c>
      <c r="L48" s="37" t="s">
        <v>39</v>
      </c>
      <c r="M48" s="38" t="e">
        <f>INDEX(M24:O29,MATCH($D$2,L24:L29,0),MATCH($E$2,M23:O23,0))</f>
        <v>#N/A</v>
      </c>
      <c r="Q48" s="37" t="s">
        <v>39</v>
      </c>
      <c r="R48" s="91">
        <v>0.73</v>
      </c>
      <c r="AA48" s="37" t="s">
        <v>39</v>
      </c>
      <c r="AB48" s="38" t="e">
        <f>INDEX(AB24:AD29,MATCH($D$2,AA24:AA29,0),MATCH($E$2,AB23:AD23,0))</f>
        <v>#N/A</v>
      </c>
      <c r="AF48" s="37" t="s">
        <v>39</v>
      </c>
      <c r="AG48" s="91">
        <v>0.52</v>
      </c>
    </row>
    <row r="49" spans="1:33" ht="12.95" customHeight="1">
      <c r="A49" s="2" t="s">
        <v>85</v>
      </c>
      <c r="B49" s="2" t="s">
        <v>36</v>
      </c>
      <c r="C49" s="15">
        <v>984</v>
      </c>
      <c r="D49" s="13" t="s">
        <v>36</v>
      </c>
      <c r="E49" s="2" t="s">
        <v>36</v>
      </c>
      <c r="F49" s="2" t="s">
        <v>36</v>
      </c>
      <c r="G49" s="2" t="s">
        <v>36</v>
      </c>
      <c r="H49" s="2" t="s">
        <v>36</v>
      </c>
      <c r="L49" s="37" t="s">
        <v>47</v>
      </c>
      <c r="M49" s="38" t="e">
        <f>INDEX(R24:T29,MATCH($D$2,Q24:Q29,0),MATCH($E$2,R23:T23,0))</f>
        <v>#N/A</v>
      </c>
      <c r="Q49" s="37" t="s">
        <v>47</v>
      </c>
      <c r="R49" s="91">
        <v>0.73</v>
      </c>
      <c r="AA49" s="37" t="s">
        <v>47</v>
      </c>
      <c r="AB49" s="38" t="e">
        <f>INDEX(AG24:AI29,MATCH($D$2,AF24:AF29,0),MATCH($E$2,AG23:AI23,0))</f>
        <v>#N/A</v>
      </c>
      <c r="AF49" s="37" t="s">
        <v>47</v>
      </c>
      <c r="AG49" s="91">
        <v>0.52</v>
      </c>
    </row>
    <row r="50" spans="1:33" ht="12.95" customHeight="1">
      <c r="A50" s="2" t="s">
        <v>86</v>
      </c>
      <c r="B50" s="2" t="s">
        <v>44</v>
      </c>
      <c r="C50" s="15">
        <v>1</v>
      </c>
      <c r="D50" s="13" t="s">
        <v>49</v>
      </c>
      <c r="E50" s="2" t="s">
        <v>40</v>
      </c>
      <c r="F50" s="2" t="s">
        <v>41</v>
      </c>
      <c r="G50" s="2" t="s">
        <v>41</v>
      </c>
      <c r="H50" s="2" t="s">
        <v>36</v>
      </c>
      <c r="L50" s="37" t="s">
        <v>41</v>
      </c>
      <c r="M50" s="38" t="e">
        <f>INDEX(W24:Y29,MATCH($D$2,V24:V29,0),MATCH($E$2,W23:Y23,0))</f>
        <v>#N/A</v>
      </c>
      <c r="Q50" s="37" t="s">
        <v>41</v>
      </c>
      <c r="R50" s="91">
        <v>0.66</v>
      </c>
      <c r="AA50" s="37" t="s">
        <v>41</v>
      </c>
      <c r="AB50" s="38" t="e">
        <f>INDEX(AL24:AN29,MATCH($D$2,AK24:AK29,0),MATCH($E$2,AL23:AN23,0))</f>
        <v>#N/A</v>
      </c>
      <c r="AF50" s="37" t="s">
        <v>41</v>
      </c>
      <c r="AG50" s="91">
        <v>0.47</v>
      </c>
    </row>
    <row r="51" spans="1:33" ht="12.95" customHeight="1">
      <c r="A51" s="2" t="s">
        <v>87</v>
      </c>
      <c r="B51" s="2" t="s">
        <v>35</v>
      </c>
      <c r="C51" s="15">
        <v>995</v>
      </c>
      <c r="D51" s="13" t="s">
        <v>36</v>
      </c>
      <c r="E51" s="2" t="s">
        <v>36</v>
      </c>
      <c r="F51" s="2" t="s">
        <v>36</v>
      </c>
      <c r="G51" s="2" t="s">
        <v>36</v>
      </c>
      <c r="H51" s="2" t="s">
        <v>36</v>
      </c>
      <c r="L51" s="37" t="s">
        <v>35</v>
      </c>
      <c r="M51" s="38" t="e">
        <f>INDEX(M33:O38,MATCH($D$2,L33:L38,0),MATCH($E$2,M32:O32,0))</f>
        <v>#N/A</v>
      </c>
      <c r="Q51" s="37" t="s">
        <v>35</v>
      </c>
      <c r="R51" s="91">
        <v>0.66</v>
      </c>
      <c r="AA51" s="37" t="s">
        <v>35</v>
      </c>
      <c r="AB51" s="38" t="e">
        <f>INDEX(AB33:AD38,MATCH($D$2,AA33:AA38,0),MATCH($E$2,AB32:AD32,0))</f>
        <v>#N/A</v>
      </c>
      <c r="AF51" s="37" t="s">
        <v>35</v>
      </c>
      <c r="AG51" s="91">
        <v>0.47</v>
      </c>
    </row>
    <row r="52" spans="1:33" ht="12.95" customHeight="1">
      <c r="A52" s="2" t="s">
        <v>88</v>
      </c>
      <c r="B52" s="2" t="s">
        <v>47</v>
      </c>
      <c r="C52" s="15">
        <v>445</v>
      </c>
      <c r="D52" s="13" t="s">
        <v>34</v>
      </c>
      <c r="E52" s="2" t="s">
        <v>35</v>
      </c>
      <c r="F52" s="2" t="s">
        <v>36</v>
      </c>
      <c r="G52" s="2" t="s">
        <v>36</v>
      </c>
      <c r="H52" s="2" t="s">
        <v>36</v>
      </c>
      <c r="L52" s="37" t="s">
        <v>34</v>
      </c>
      <c r="M52" s="38" t="e">
        <f>INDEX(R33:T38,MATCH($D$2,Q33:Q38,0),MATCH($E$2,R32:T32,0))</f>
        <v>#N/A</v>
      </c>
      <c r="Q52" s="37" t="s">
        <v>34</v>
      </c>
      <c r="R52" s="91">
        <v>0.66</v>
      </c>
      <c r="AA52" s="37" t="s">
        <v>34</v>
      </c>
      <c r="AB52" s="38" t="e">
        <f>INDEX(AG33:AI38,MATCH($D$2,AF33:AF38,0),MATCH($E$2,AG32:AI32,0))</f>
        <v>#N/A</v>
      </c>
      <c r="AF52" s="37" t="s">
        <v>34</v>
      </c>
      <c r="AG52" s="91">
        <v>0.47</v>
      </c>
    </row>
    <row r="53" spans="1:33" ht="12.95" customHeight="1" thickBot="1">
      <c r="A53" s="2" t="s">
        <v>89</v>
      </c>
      <c r="B53" s="2" t="s">
        <v>44</v>
      </c>
      <c r="C53" s="15">
        <v>8</v>
      </c>
      <c r="D53" s="13" t="s">
        <v>49</v>
      </c>
      <c r="E53" s="2" t="s">
        <v>40</v>
      </c>
      <c r="F53" s="2" t="s">
        <v>41</v>
      </c>
      <c r="G53" s="2" t="s">
        <v>41</v>
      </c>
      <c r="H53" s="2" t="s">
        <v>36</v>
      </c>
      <c r="L53" s="39" t="s">
        <v>36</v>
      </c>
      <c r="M53" s="40" t="e">
        <f>INDEX(W33:Y38,MATCH($D$2,V33:V38,0),MATCH($E$2,W32:Y32,0))</f>
        <v>#N/A</v>
      </c>
      <c r="Q53" s="39" t="s">
        <v>36</v>
      </c>
      <c r="R53" s="92">
        <v>0.56999999999999995</v>
      </c>
      <c r="AA53" s="39" t="s">
        <v>36</v>
      </c>
      <c r="AB53" s="40" t="e">
        <f>INDEX(AL33:AN38,MATCH($D$2,AK33:AK38,0),MATCH($E$2,AL32:AN32,0))</f>
        <v>#N/A</v>
      </c>
      <c r="AF53" s="39" t="s">
        <v>36</v>
      </c>
      <c r="AG53" s="92">
        <v>0.43</v>
      </c>
    </row>
    <row r="54" spans="1:33" ht="12.95" customHeight="1">
      <c r="A54" s="2" t="s">
        <v>90</v>
      </c>
      <c r="B54" s="2" t="s">
        <v>35</v>
      </c>
      <c r="C54" s="15">
        <v>704</v>
      </c>
      <c r="D54" s="13" t="s">
        <v>36</v>
      </c>
      <c r="E54" s="2" t="s">
        <v>36</v>
      </c>
      <c r="F54" s="2" t="s">
        <v>36</v>
      </c>
      <c r="G54" s="2" t="s">
        <v>36</v>
      </c>
      <c r="H54" s="2" t="s">
        <v>36</v>
      </c>
    </row>
    <row r="55" spans="1:33" ht="12.95" customHeight="1">
      <c r="A55" s="2" t="s">
        <v>91</v>
      </c>
      <c r="B55" s="2" t="s">
        <v>41</v>
      </c>
      <c r="C55" s="15">
        <v>512</v>
      </c>
      <c r="D55" s="13" t="s">
        <v>36</v>
      </c>
      <c r="E55" s="2" t="s">
        <v>36</v>
      </c>
      <c r="F55" s="2" t="s">
        <v>36</v>
      </c>
      <c r="G55" s="2" t="s">
        <v>36</v>
      </c>
      <c r="H55" s="2" t="s">
        <v>36</v>
      </c>
    </row>
    <row r="56" spans="1:33" ht="12.95" customHeight="1">
      <c r="A56" s="2" t="s">
        <v>92</v>
      </c>
      <c r="B56" s="2" t="s">
        <v>35</v>
      </c>
      <c r="C56" s="15">
        <v>617</v>
      </c>
      <c r="D56" s="13" t="s">
        <v>36</v>
      </c>
      <c r="E56" s="2" t="s">
        <v>36</v>
      </c>
      <c r="F56" s="2" t="s">
        <v>36</v>
      </c>
      <c r="G56" s="2" t="s">
        <v>36</v>
      </c>
      <c r="H56" s="2" t="s">
        <v>36</v>
      </c>
    </row>
    <row r="57" spans="1:33" ht="12.95" customHeight="1">
      <c r="A57" s="2" t="s">
        <v>93</v>
      </c>
      <c r="B57" s="2" t="s">
        <v>34</v>
      </c>
      <c r="C57" s="15">
        <v>207</v>
      </c>
      <c r="D57" s="13" t="s">
        <v>35</v>
      </c>
      <c r="E57" s="2" t="s">
        <v>36</v>
      </c>
      <c r="F57" s="2" t="s">
        <v>36</v>
      </c>
      <c r="G57" s="2" t="s">
        <v>36</v>
      </c>
      <c r="H57" s="2" t="s">
        <v>36</v>
      </c>
    </row>
    <row r="58" spans="1:33" ht="12.95" customHeight="1">
      <c r="A58" s="2"/>
      <c r="B58" s="2"/>
      <c r="C58" s="2"/>
      <c r="D58" s="2"/>
      <c r="E58" s="2"/>
      <c r="F58" s="2"/>
      <c r="G58" s="2"/>
      <c r="H58" s="2"/>
    </row>
    <row r="59" spans="1:33" ht="12.95" customHeight="1">
      <c r="A59" s="2"/>
      <c r="B59" s="2"/>
      <c r="C59" s="2"/>
      <c r="D59" s="2"/>
      <c r="E59" s="2"/>
      <c r="F59" s="2"/>
      <c r="G59" s="2"/>
      <c r="H59" s="2"/>
    </row>
    <row r="60" spans="1:33" ht="12.95" customHeight="1">
      <c r="A60" s="2"/>
      <c r="B60" s="2"/>
      <c r="C60" s="2"/>
      <c r="D60" s="2"/>
      <c r="E60" s="2"/>
      <c r="F60" s="2"/>
      <c r="G60" s="2"/>
      <c r="H60" s="2"/>
    </row>
    <row r="61" spans="1:33" ht="12.95" customHeight="1">
      <c r="A61" s="2"/>
      <c r="B61" s="2"/>
      <c r="C61" s="2"/>
      <c r="D61" s="2"/>
      <c r="E61" s="2"/>
      <c r="F61" s="2"/>
      <c r="G61" s="2"/>
      <c r="H61" s="2"/>
    </row>
    <row r="62" spans="1:33" ht="12.75" customHeight="1">
      <c r="A62" s="118" t="s">
        <v>310</v>
      </c>
      <c r="B62" s="2"/>
      <c r="C62" s="2"/>
      <c r="D62" s="2"/>
      <c r="F62" s="117"/>
      <c r="G62" s="117"/>
      <c r="H62" s="117"/>
      <c r="I62" s="117"/>
      <c r="L62" s="721" t="s">
        <v>202</v>
      </c>
      <c r="M62" s="722" t="s">
        <v>201</v>
      </c>
      <c r="N62" s="723" t="str">
        <f>IF(FORMULARIO!U48="Anular Intercalario","∑(Am x UHm) + ∑(Av x UHv)","∑(Am x UHm) +∑ (Av x UHv) + (L x Ψ)")</f>
        <v>∑(Am x UHm) + ∑(Av x UHv)</v>
      </c>
      <c r="O62" s="723"/>
      <c r="P62" s="723"/>
      <c r="AA62" s="721"/>
      <c r="AB62" s="722"/>
      <c r="AC62" s="725"/>
      <c r="AD62" s="725"/>
    </row>
    <row r="63" spans="1:33" ht="3" customHeight="1">
      <c r="A63" s="2"/>
      <c r="D63" s="2"/>
      <c r="E63" s="117"/>
      <c r="F63" s="117"/>
      <c r="G63" s="117"/>
      <c r="H63" s="117"/>
      <c r="I63" s="117"/>
      <c r="J63" s="117"/>
      <c r="L63" s="721"/>
      <c r="M63" s="722"/>
      <c r="N63" s="724"/>
      <c r="O63" s="724"/>
      <c r="P63" s="724"/>
      <c r="AA63" s="721"/>
      <c r="AB63" s="722"/>
      <c r="AC63" s="77"/>
      <c r="AD63" s="78"/>
    </row>
    <row r="64" spans="1:33" ht="12.95" customHeight="1">
      <c r="A64" s="2"/>
      <c r="B64" s="2"/>
      <c r="C64" s="2"/>
      <c r="D64" s="2"/>
      <c r="E64" s="117"/>
      <c r="F64" s="117"/>
      <c r="G64" s="117"/>
      <c r="H64" s="117"/>
      <c r="I64" s="117"/>
      <c r="J64" s="117"/>
      <c r="L64" s="721"/>
      <c r="M64" s="722"/>
      <c r="N64" s="723" t="s">
        <v>311</v>
      </c>
      <c r="O64" s="723"/>
      <c r="P64" s="723"/>
      <c r="AA64" s="721"/>
      <c r="AB64" s="722"/>
      <c r="AC64" s="725"/>
      <c r="AD64" s="725"/>
    </row>
    <row r="65" spans="1:16" ht="12.95" customHeight="1">
      <c r="A65" s="2"/>
      <c r="B65" s="2"/>
      <c r="C65" s="2"/>
      <c r="D65" s="2"/>
      <c r="E65" s="2"/>
      <c r="F65" s="2"/>
      <c r="G65" s="2"/>
      <c r="H65" s="2"/>
    </row>
    <row r="66" spans="1:16" ht="12.95" customHeight="1">
      <c r="A66" s="118" t="s">
        <v>310</v>
      </c>
      <c r="C66" s="2"/>
      <c r="D66" s="2"/>
      <c r="F66" s="117"/>
      <c r="G66" s="117"/>
      <c r="H66" s="117"/>
      <c r="I66" s="117"/>
      <c r="L66" s="721"/>
      <c r="M66" s="722"/>
      <c r="N66" s="725"/>
      <c r="O66" s="725"/>
      <c r="P66" s="725"/>
    </row>
    <row r="67" spans="1:16" ht="3" customHeight="1">
      <c r="A67" s="2"/>
      <c r="B67" s="2"/>
      <c r="C67" s="2"/>
      <c r="D67" s="2"/>
      <c r="E67" s="117"/>
      <c r="F67" s="117"/>
      <c r="G67" s="117"/>
      <c r="H67" s="117"/>
      <c r="I67" s="117"/>
      <c r="J67" s="117"/>
      <c r="L67" s="721"/>
      <c r="M67" s="722"/>
      <c r="N67" s="724"/>
      <c r="O67" s="724"/>
      <c r="P67" s="724"/>
    </row>
    <row r="68" spans="1:16" ht="12.95" customHeight="1">
      <c r="E68" s="117"/>
      <c r="F68" s="117"/>
      <c r="G68" s="117"/>
      <c r="H68" s="117"/>
      <c r="I68" s="117"/>
      <c r="J68" s="117"/>
      <c r="L68" s="721"/>
      <c r="M68" s="722"/>
      <c r="N68" s="725"/>
      <c r="O68" s="725"/>
      <c r="P68" s="725"/>
    </row>
    <row r="69" spans="1:16" ht="12.95" customHeight="1"/>
    <row r="70" spans="1:16" ht="12.95" customHeight="1"/>
    <row r="71" spans="1:16" ht="12.95" customHeight="1"/>
    <row r="72" spans="1:16" ht="12.95" customHeight="1"/>
    <row r="73" spans="1:16" ht="12.95" customHeight="1"/>
    <row r="74" spans="1:16" ht="12.95" customHeight="1"/>
    <row r="75" spans="1:16" ht="12.95" customHeight="1"/>
  </sheetData>
  <customSheetViews>
    <customSheetView guid="{9633098C-10ED-422F-91DC-BBC3EF37A58B}" scale="115" state="hidden" topLeftCell="B27">
      <selection activeCell="D34" sqref="D34:F36"/>
      <pageMargins left="0.7" right="0.7" top="0.75" bottom="0.75" header="0.3" footer="0.3"/>
      <pageSetup paperSize="9" orientation="portrait" r:id="rId1"/>
    </customSheetView>
  </customSheetViews>
  <mergeCells count="32">
    <mergeCell ref="O42:O44"/>
    <mergeCell ref="D4:H4"/>
    <mergeCell ref="J12:J13"/>
    <mergeCell ref="L40:M40"/>
    <mergeCell ref="L41:M41"/>
    <mergeCell ref="O40:O41"/>
    <mergeCell ref="Q40:R40"/>
    <mergeCell ref="Q41:R41"/>
    <mergeCell ref="T40:T41"/>
    <mergeCell ref="T42:T44"/>
    <mergeCell ref="AA40:AB40"/>
    <mergeCell ref="AD40:AD41"/>
    <mergeCell ref="AF40:AG40"/>
    <mergeCell ref="AI40:AI41"/>
    <mergeCell ref="AA41:AB41"/>
    <mergeCell ref="AF41:AG41"/>
    <mergeCell ref="AD42:AD44"/>
    <mergeCell ref="AI42:AI44"/>
    <mergeCell ref="AA62:AA64"/>
    <mergeCell ref="AB62:AB64"/>
    <mergeCell ref="AC62:AD62"/>
    <mergeCell ref="AC64:AD64"/>
    <mergeCell ref="L66:L68"/>
    <mergeCell ref="M66:M68"/>
    <mergeCell ref="N62:P62"/>
    <mergeCell ref="N64:P64"/>
    <mergeCell ref="N63:P63"/>
    <mergeCell ref="N66:P66"/>
    <mergeCell ref="N68:P68"/>
    <mergeCell ref="N67:P67"/>
    <mergeCell ref="L62:L64"/>
    <mergeCell ref="M62:M64"/>
  </mergeCells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92"/>
  <sheetViews>
    <sheetView workbookViewId="0">
      <selection activeCell="D1" sqref="D1"/>
    </sheetView>
  </sheetViews>
  <sheetFormatPr baseColWidth="10" defaultColWidth="11.42578125" defaultRowHeight="15"/>
  <cols>
    <col min="1" max="1" width="17.5703125" style="41" customWidth="1"/>
    <col min="2" max="2" width="25" style="41" customWidth="1"/>
    <col min="3" max="3" width="47.5703125" style="41" customWidth="1"/>
    <col min="4" max="4" width="30" style="41" customWidth="1"/>
    <col min="5" max="5" width="34.7109375" style="41" customWidth="1"/>
    <col min="6" max="16384" width="11.42578125" style="41"/>
  </cols>
  <sheetData>
    <row r="1" spans="1:5" ht="159.94999999999999" customHeight="1">
      <c r="A1" s="98" t="s">
        <v>127</v>
      </c>
      <c r="B1" s="98" t="s">
        <v>224</v>
      </c>
      <c r="C1" s="98" t="s">
        <v>258</v>
      </c>
    </row>
    <row r="2" spans="1:5" ht="170.1" customHeight="1">
      <c r="A2" s="99" t="s">
        <v>15</v>
      </c>
      <c r="B2" s="43"/>
      <c r="E2" s="43"/>
    </row>
    <row r="3" spans="1:5" ht="170.1" customHeight="1">
      <c r="A3" s="99" t="s">
        <v>8</v>
      </c>
      <c r="B3" s="43"/>
      <c r="E3" s="43"/>
    </row>
    <row r="4" spans="1:5" ht="170.1" customHeight="1">
      <c r="A4" s="99" t="s">
        <v>14</v>
      </c>
      <c r="B4" s="43"/>
      <c r="E4" s="43"/>
    </row>
    <row r="5" spans="1:5" ht="170.1" customHeight="1">
      <c r="A5" s="99" t="s">
        <v>17</v>
      </c>
      <c r="B5" s="43"/>
      <c r="E5" s="43"/>
    </row>
    <row r="6" spans="1:5" ht="170.1" customHeight="1">
      <c r="A6" s="99" t="s">
        <v>16</v>
      </c>
      <c r="B6" s="43"/>
      <c r="E6" s="43"/>
    </row>
    <row r="7" spans="1:5" ht="170.1" customHeight="1">
      <c r="A7" s="99" t="s">
        <v>128</v>
      </c>
      <c r="B7" s="43"/>
      <c r="E7" s="43"/>
    </row>
    <row r="8" spans="1:5" ht="170.1" customHeight="1">
      <c r="A8" s="99" t="s">
        <v>129</v>
      </c>
      <c r="B8" s="43"/>
      <c r="E8" s="43"/>
    </row>
    <row r="9" spans="1:5" ht="170.1" customHeight="1">
      <c r="A9" s="99" t="s">
        <v>130</v>
      </c>
      <c r="B9" s="43"/>
      <c r="E9" s="43"/>
    </row>
    <row r="10" spans="1:5" ht="170.1" customHeight="1">
      <c r="A10" s="43"/>
      <c r="B10" s="43"/>
      <c r="E10" s="43"/>
    </row>
    <row r="11" spans="1:5" ht="170.1" customHeight="1">
      <c r="A11" s="43"/>
      <c r="B11" s="43"/>
      <c r="E11" s="43"/>
    </row>
    <row r="12" spans="1:5" ht="170.1" customHeight="1">
      <c r="A12" s="43"/>
      <c r="B12" s="43"/>
      <c r="E12" s="43"/>
    </row>
    <row r="13" spans="1:5" ht="170.1" customHeight="1"/>
    <row r="14" spans="1:5" ht="170.1" customHeight="1"/>
    <row r="15" spans="1:5" ht="170.1" customHeight="1"/>
    <row r="16" spans="1:5" ht="170.1" customHeight="1"/>
    <row r="17" spans="1:1" ht="170.1" customHeight="1">
      <c r="A17" s="42"/>
    </row>
    <row r="18" spans="1:1" ht="170.1" customHeight="1"/>
    <row r="19" spans="1:1" ht="170.1" customHeight="1"/>
    <row r="20" spans="1:1" ht="170.1" customHeight="1"/>
    <row r="21" spans="1:1" ht="170.1" customHeight="1">
      <c r="A21" s="42"/>
    </row>
    <row r="22" spans="1:1" ht="170.1" customHeight="1"/>
    <row r="23" spans="1:1" ht="170.1" customHeight="1"/>
    <row r="24" spans="1:1" ht="170.1" customHeight="1"/>
    <row r="25" spans="1:1" ht="170.1" customHeight="1">
      <c r="A25" s="42"/>
    </row>
    <row r="26" spans="1:1" ht="170.1" customHeight="1"/>
    <row r="27" spans="1:1" ht="170.1" customHeight="1"/>
    <row r="28" spans="1:1" ht="170.1" customHeight="1"/>
    <row r="29" spans="1:1" ht="170.1" customHeight="1"/>
    <row r="30" spans="1:1" ht="170.1" customHeight="1"/>
    <row r="31" spans="1:1" ht="170.1" customHeight="1"/>
    <row r="32" spans="1:1" ht="170.1" customHeight="1"/>
    <row r="33" ht="170.1" customHeight="1"/>
    <row r="34" ht="170.1" customHeight="1"/>
    <row r="35" ht="170.1" customHeight="1"/>
    <row r="36" ht="170.1" customHeight="1"/>
    <row r="37" ht="170.1" customHeight="1"/>
    <row r="38" ht="170.1" customHeight="1"/>
    <row r="39" ht="170.1" customHeight="1"/>
    <row r="40" ht="170.1" customHeight="1"/>
    <row r="41" ht="170.1" customHeight="1"/>
    <row r="42" ht="170.1" customHeight="1"/>
    <row r="43" ht="170.1" customHeight="1"/>
    <row r="44" ht="170.1" customHeight="1"/>
    <row r="45" ht="170.1" customHeight="1"/>
    <row r="46" ht="170.1" customHeight="1"/>
    <row r="47" ht="170.1" customHeight="1"/>
    <row r="48" ht="170.1" customHeight="1"/>
    <row r="49" ht="170.1" customHeight="1"/>
    <row r="50" ht="170.1" customHeight="1"/>
    <row r="51" ht="170.1" customHeight="1"/>
    <row r="52" ht="170.1" customHeight="1"/>
    <row r="53" ht="170.1" customHeight="1"/>
    <row r="54" ht="170.1" customHeight="1"/>
    <row r="55" ht="170.1" customHeight="1"/>
    <row r="56" ht="170.1" customHeight="1"/>
    <row r="57" ht="170.1" customHeight="1"/>
    <row r="58" ht="170.1" customHeight="1"/>
    <row r="59" ht="170.1" customHeight="1"/>
    <row r="60" ht="170.1" customHeight="1"/>
    <row r="61" ht="170.1" customHeight="1"/>
    <row r="62" ht="170.1" customHeight="1"/>
    <row r="63" ht="170.1" customHeight="1"/>
    <row r="64" ht="170.1" customHeight="1"/>
    <row r="65" ht="170.1" customHeight="1"/>
    <row r="66" ht="170.1" customHeight="1"/>
    <row r="67" ht="170.1" customHeight="1"/>
    <row r="68" ht="170.1" customHeight="1"/>
    <row r="69" ht="170.1" customHeight="1"/>
    <row r="70" ht="170.1" customHeight="1"/>
    <row r="71" ht="170.1" customHeight="1"/>
    <row r="72" ht="170.1" customHeight="1"/>
    <row r="73" ht="170.1" customHeight="1"/>
    <row r="74" ht="170.1" customHeight="1"/>
    <row r="75" ht="170.1" customHeight="1"/>
    <row r="76" ht="170.1" customHeight="1"/>
    <row r="77" ht="170.1" customHeight="1"/>
    <row r="78" ht="170.1" customHeight="1"/>
    <row r="79" ht="170.1" customHeight="1"/>
    <row r="80" ht="170.1" customHeight="1"/>
    <row r="81" ht="170.1" customHeight="1"/>
    <row r="82" ht="170.1" customHeight="1"/>
    <row r="83" ht="170.1" customHeight="1"/>
    <row r="84" ht="170.1" customHeight="1"/>
    <row r="85" ht="170.1" customHeight="1"/>
    <row r="86" ht="170.1" customHeight="1"/>
    <row r="87" ht="170.1" customHeight="1"/>
    <row r="88" ht="170.1" customHeight="1"/>
    <row r="89" ht="170.1" customHeight="1"/>
    <row r="90" ht="170.1" customHeight="1"/>
    <row r="91" ht="170.1" customHeight="1"/>
    <row r="92" ht="170.1" customHeight="1"/>
  </sheetData>
  <customSheetViews>
    <customSheetView guid="{9633098C-10ED-422F-91DC-BBC3EF37A58B}" state="hidden">
      <selection activeCell="D34" sqref="D34:F36"/>
      <pageMargins left="0.7" right="0.7" top="0.75" bottom="0.75" header="0.3" footer="0.3"/>
      <pageSetup paperSize="9" orientation="portrait" r:id="rId1"/>
    </customSheetView>
  </customSheetView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8</vt:i4>
      </vt:variant>
    </vt:vector>
  </HeadingPairs>
  <TitlesOfParts>
    <vt:vector size="20" baseType="lpstr">
      <vt:lpstr>FORMULARIO</vt:lpstr>
      <vt:lpstr>C.T.E.</vt:lpstr>
      <vt:lpstr>FICHA TECNICA</vt:lpstr>
      <vt:lpstr>AHORRO</vt:lpstr>
      <vt:lpstr>TALLER</vt:lpstr>
      <vt:lpstr>VIDRIO2</vt:lpstr>
      <vt:lpstr>SERIES SIN</vt:lpstr>
      <vt:lpstr>TABLAS U</vt:lpstr>
      <vt:lpstr>FOTOS</vt:lpstr>
      <vt:lpstr>CLASIFICACIONES</vt:lpstr>
      <vt:lpstr>ACUSTICA</vt:lpstr>
      <vt:lpstr>GRADOS</vt:lpstr>
      <vt:lpstr>AHORRO!Área_de_impresión</vt:lpstr>
      <vt:lpstr>C.T.E.!Área_de_impresión</vt:lpstr>
      <vt:lpstr>'FICHA TECNICA'!Área_de_impresión</vt:lpstr>
      <vt:lpstr>CAJON</vt:lpstr>
      <vt:lpstr>'FICHA TECNICA'!Hojas</vt:lpstr>
      <vt:lpstr>TALLER!Hojas</vt:lpstr>
      <vt:lpstr>Hojas</vt:lpstr>
      <vt:lpstr>NOMBRE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Gustavo</cp:lastModifiedBy>
  <cp:lastPrinted>2016-07-07T16:23:47Z</cp:lastPrinted>
  <dcterms:created xsi:type="dcterms:W3CDTF">2010-11-19T15:08:33Z</dcterms:created>
  <dcterms:modified xsi:type="dcterms:W3CDTF">2017-05-04T10:14:55Z</dcterms:modified>
</cp:coreProperties>
</file>